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avier Florian.LAPTOP-1GG1JOUM\Documents\"/>
    </mc:Choice>
  </mc:AlternateContent>
  <xr:revisionPtr revIDLastSave="0" documentId="13_ncr:1_{99F1F39A-05E3-4B9D-8EC5-9675C95A6A4A}" xr6:coauthVersionLast="47" xr6:coauthVersionMax="47" xr10:uidLastSave="{00000000-0000-0000-0000-000000000000}"/>
  <bookViews>
    <workbookView xWindow="-108" yWindow="-108" windowWidth="23256" windowHeight="12576" xr2:uid="{18DCBCD0-129B-4476-B00C-F02C71A5F16C}"/>
  </bookViews>
  <sheets>
    <sheet name="Hoja1" sheetId="1" r:id="rId1"/>
  </sheets>
  <externalReferences>
    <externalReference r:id="rId2"/>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[1]UNSPSC!$A$1:$A$18298</definedName>
    <definedName name="UNSPSCDes">[1]UNSPSC!$B$1:$B$18298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00" i="1" l="1"/>
  <c r="C1097" i="1"/>
  <c r="C1095" i="1"/>
  <c r="C1089" i="1"/>
  <c r="C1088" i="1"/>
  <c r="C1085" i="1"/>
  <c r="C1083" i="1"/>
  <c r="C1077" i="1"/>
  <c r="C1076" i="1"/>
  <c r="C1075" i="1"/>
  <c r="C1072" i="1"/>
  <c r="C1070" i="1"/>
  <c r="C1064" i="1"/>
  <c r="C1063" i="1"/>
  <c r="C1060" i="1"/>
  <c r="C1058" i="1"/>
  <c r="C1052" i="1"/>
  <c r="C1051" i="1"/>
  <c r="C1050" i="1"/>
  <c r="C1047" i="1"/>
  <c r="C1045" i="1"/>
  <c r="C1039" i="1"/>
  <c r="C1038" i="1"/>
  <c r="C1035" i="1"/>
  <c r="C1033" i="1"/>
  <c r="C1027" i="1"/>
  <c r="C1024" i="1"/>
  <c r="C1022" i="1"/>
  <c r="C1016" i="1"/>
  <c r="C1013" i="1"/>
  <c r="C1011" i="1"/>
  <c r="C1005" i="1"/>
  <c r="C1004" i="1"/>
  <c r="C1003" i="1"/>
  <c r="C1002" i="1"/>
  <c r="C1001" i="1"/>
  <c r="C1000" i="1"/>
  <c r="C997" i="1"/>
  <c r="C995" i="1"/>
  <c r="C989" i="1"/>
  <c r="C986" i="1"/>
  <c r="C984" i="1"/>
  <c r="C978" i="1"/>
  <c r="C977" i="1"/>
  <c r="C976" i="1"/>
  <c r="C975" i="1"/>
  <c r="C974" i="1"/>
  <c r="C973" i="1"/>
  <c r="C972" i="1"/>
  <c r="C971" i="1"/>
  <c r="C970" i="1"/>
  <c r="C969" i="1"/>
  <c r="C968" i="1"/>
  <c r="C967" i="1"/>
  <c r="C966" i="1"/>
  <c r="C965" i="1"/>
  <c r="C962" i="1"/>
  <c r="C960" i="1"/>
  <c r="C954" i="1"/>
  <c r="C953" i="1"/>
  <c r="C952" i="1"/>
  <c r="C951" i="1"/>
  <c r="C950" i="1"/>
  <c r="C949" i="1"/>
  <c r="C948" i="1"/>
  <c r="C947" i="1"/>
  <c r="C946" i="1"/>
  <c r="C945" i="1"/>
  <c r="C942" i="1"/>
  <c r="C940"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5" i="1"/>
  <c r="C903" i="1"/>
  <c r="C897" i="1"/>
  <c r="C896" i="1"/>
  <c r="C895" i="1"/>
  <c r="C894" i="1"/>
  <c r="C893" i="1"/>
  <c r="C892" i="1"/>
  <c r="C891" i="1"/>
  <c r="C890" i="1"/>
  <c r="C889" i="1"/>
  <c r="C886" i="1"/>
  <c r="C884" i="1"/>
  <c r="C878" i="1"/>
  <c r="C877" i="1"/>
  <c r="C876" i="1"/>
  <c r="C875" i="1"/>
  <c r="C874" i="1"/>
  <c r="C873" i="1"/>
  <c r="C872" i="1"/>
  <c r="C871" i="1"/>
  <c r="C870" i="1"/>
  <c r="C869" i="1"/>
  <c r="C868" i="1"/>
  <c r="C867" i="1"/>
  <c r="C866" i="1"/>
  <c r="C865" i="1"/>
  <c r="C862" i="1"/>
  <c r="C860" i="1"/>
  <c r="C854" i="1"/>
  <c r="C851" i="1"/>
  <c r="C849"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798" i="1"/>
  <c r="C796" i="1"/>
  <c r="C790" i="1"/>
  <c r="C789" i="1"/>
  <c r="C788" i="1"/>
  <c r="C787" i="1"/>
  <c r="C786" i="1"/>
  <c r="C785" i="1"/>
  <c r="C784" i="1"/>
  <c r="C783" i="1"/>
  <c r="C782" i="1"/>
  <c r="C781" i="1"/>
  <c r="C780" i="1"/>
  <c r="C779" i="1"/>
  <c r="C778" i="1"/>
  <c r="C775" i="1"/>
  <c r="C773" i="1"/>
  <c r="C767" i="1"/>
  <c r="C766" i="1"/>
  <c r="C765" i="1"/>
  <c r="C764" i="1"/>
  <c r="C763" i="1"/>
  <c r="C762" i="1"/>
  <c r="C761" i="1"/>
  <c r="C760" i="1"/>
  <c r="C759" i="1"/>
  <c r="C758" i="1"/>
  <c r="C757" i="1"/>
  <c r="C756" i="1"/>
  <c r="C755" i="1"/>
  <c r="C754" i="1"/>
  <c r="C753" i="1"/>
  <c r="C752" i="1"/>
  <c r="C751" i="1"/>
  <c r="C750" i="1"/>
  <c r="C749" i="1"/>
  <c r="C748" i="1"/>
  <c r="C747" i="1"/>
  <c r="C746" i="1"/>
  <c r="C745" i="1"/>
  <c r="C744" i="1"/>
  <c r="C741" i="1"/>
  <c r="C739" i="1"/>
  <c r="C733" i="1"/>
  <c r="C732" i="1"/>
  <c r="C731" i="1"/>
  <c r="C730" i="1"/>
  <c r="C729" i="1"/>
  <c r="C728" i="1"/>
  <c r="C727" i="1"/>
  <c r="C726" i="1"/>
  <c r="C725" i="1"/>
  <c r="C724" i="1"/>
  <c r="C723" i="1"/>
  <c r="C722" i="1"/>
  <c r="C721" i="1"/>
  <c r="C720" i="1"/>
  <c r="C719" i="1"/>
  <c r="C718" i="1"/>
  <c r="C717" i="1"/>
  <c r="C716" i="1"/>
  <c r="C715" i="1"/>
  <c r="C714" i="1"/>
  <c r="C713" i="1"/>
  <c r="C712" i="1"/>
  <c r="C711" i="1"/>
  <c r="C710" i="1"/>
  <c r="C707" i="1"/>
  <c r="C705"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7" i="1"/>
  <c r="C645" i="1"/>
  <c r="C639" i="1"/>
  <c r="C636" i="1"/>
  <c r="C634" i="1"/>
  <c r="C628" i="1"/>
  <c r="C625" i="1"/>
  <c r="C623"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68" i="1"/>
  <c r="C566"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1" i="1"/>
  <c r="C509" i="1"/>
  <c r="C503" i="1"/>
  <c r="C500" i="1"/>
  <c r="C498" i="1"/>
  <c r="C492" i="1"/>
  <c r="C491" i="1"/>
  <c r="C490" i="1"/>
  <c r="C489" i="1"/>
  <c r="C486" i="1"/>
  <c r="C484" i="1"/>
  <c r="C478" i="1"/>
  <c r="C477" i="1"/>
  <c r="C476" i="1"/>
  <c r="C473" i="1"/>
  <c r="C471" i="1"/>
  <c r="C465" i="1"/>
  <c r="C464" i="1"/>
  <c r="C463" i="1"/>
  <c r="C460" i="1"/>
  <c r="C458" i="1"/>
  <c r="C452" i="1"/>
  <c r="C451" i="1"/>
  <c r="C450" i="1"/>
  <c r="C447" i="1"/>
  <c r="C445" i="1"/>
  <c r="C439" i="1"/>
  <c r="C438" i="1"/>
  <c r="C437" i="1"/>
  <c r="C436" i="1"/>
  <c r="C433" i="1"/>
  <c r="C431" i="1"/>
  <c r="C425" i="1"/>
  <c r="C424" i="1"/>
  <c r="C421" i="1"/>
  <c r="C419" i="1"/>
  <c r="C413" i="1"/>
  <c r="C412" i="1"/>
  <c r="C409" i="1"/>
  <c r="C407" i="1"/>
  <c r="C401" i="1"/>
  <c r="C398" i="1"/>
  <c r="C396" i="1"/>
  <c r="C390" i="1"/>
  <c r="C389" i="1"/>
  <c r="C388" i="1"/>
  <c r="C387" i="1"/>
  <c r="C386" i="1"/>
  <c r="C383" i="1"/>
  <c r="C381" i="1"/>
  <c r="C375" i="1"/>
  <c r="C374" i="1"/>
  <c r="C373" i="1"/>
  <c r="C372" i="1"/>
  <c r="C369" i="1"/>
  <c r="C367" i="1"/>
  <c r="C361" i="1"/>
  <c r="C360" i="1"/>
  <c r="C359" i="1"/>
  <c r="C358" i="1"/>
  <c r="C355" i="1"/>
  <c r="C353" i="1"/>
  <c r="C347" i="1"/>
  <c r="C346" i="1"/>
  <c r="C345" i="1"/>
  <c r="C344" i="1"/>
  <c r="C343" i="1"/>
  <c r="C342" i="1"/>
  <c r="C341" i="1"/>
  <c r="C338" i="1"/>
  <c r="C336" i="1"/>
  <c r="C330" i="1"/>
  <c r="C329" i="1"/>
  <c r="C328" i="1"/>
  <c r="C327" i="1"/>
  <c r="C326" i="1"/>
  <c r="C325" i="1"/>
  <c r="C324" i="1"/>
  <c r="C323" i="1"/>
  <c r="C322" i="1"/>
  <c r="C319" i="1"/>
  <c r="C317" i="1"/>
  <c r="C311" i="1"/>
  <c r="C310" i="1"/>
  <c r="C309" i="1"/>
  <c r="C308" i="1"/>
  <c r="C307" i="1"/>
  <c r="C306" i="1"/>
  <c r="C305" i="1"/>
  <c r="C304" i="1"/>
  <c r="C303" i="1"/>
  <c r="C300" i="1"/>
  <c r="C298" i="1"/>
  <c r="C292" i="1"/>
  <c r="C289" i="1"/>
  <c r="C287" i="1"/>
  <c r="C281" i="1"/>
  <c r="C280" i="1"/>
  <c r="C279" i="1"/>
  <c r="C278" i="1"/>
  <c r="C275" i="1"/>
  <c r="C273" i="1"/>
  <c r="C267" i="1"/>
  <c r="C266" i="1"/>
  <c r="C265" i="1"/>
  <c r="C262" i="1"/>
  <c r="C260" i="1"/>
  <c r="C254" i="1"/>
  <c r="C253" i="1"/>
  <c r="C250" i="1"/>
  <c r="C248" i="1"/>
  <c r="C242" i="1"/>
  <c r="C239" i="1"/>
  <c r="C237" i="1"/>
  <c r="C231" i="1"/>
  <c r="C228" i="1"/>
  <c r="C226" i="1"/>
  <c r="C220" i="1"/>
  <c r="C217" i="1"/>
  <c r="C215" i="1"/>
  <c r="C209" i="1"/>
  <c r="C208" i="1"/>
  <c r="C205" i="1"/>
  <c r="C203" i="1"/>
  <c r="C197" i="1"/>
  <c r="C194" i="1"/>
  <c r="C192" i="1"/>
  <c r="C186" i="1"/>
  <c r="C183" i="1"/>
  <c r="C181" i="1"/>
  <c r="C175" i="1"/>
  <c r="C174" i="1"/>
  <c r="C173" i="1"/>
  <c r="C172" i="1"/>
  <c r="C171" i="1"/>
  <c r="C170" i="1"/>
  <c r="C169" i="1"/>
  <c r="C168" i="1"/>
  <c r="C167" i="1"/>
  <c r="C166" i="1"/>
  <c r="C163" i="1"/>
  <c r="C161" i="1"/>
  <c r="C155" i="1"/>
  <c r="C154" i="1"/>
  <c r="C153" i="1"/>
  <c r="C152" i="1"/>
  <c r="C151" i="1"/>
  <c r="C150" i="1"/>
  <c r="C149" i="1"/>
  <c r="C148" i="1"/>
  <c r="C147" i="1"/>
  <c r="C146" i="1"/>
  <c r="C143" i="1"/>
  <c r="C141" i="1"/>
  <c r="C135" i="1"/>
  <c r="C132" i="1"/>
  <c r="C130" i="1"/>
  <c r="C124" i="1"/>
  <c r="C121" i="1"/>
  <c r="C119" i="1"/>
  <c r="C113" i="1"/>
  <c r="C110" i="1"/>
  <c r="C108" i="1"/>
  <c r="C102" i="1"/>
  <c r="C99" i="1"/>
  <c r="C97" i="1"/>
  <c r="C91" i="1"/>
  <c r="C88" i="1"/>
  <c r="C86" i="1"/>
  <c r="C80" i="1"/>
  <c r="C77" i="1"/>
  <c r="C75" i="1"/>
  <c r="C69" i="1"/>
  <c r="C66" i="1"/>
  <c r="C64" i="1"/>
  <c r="C58" i="1"/>
  <c r="C55" i="1"/>
  <c r="C53" i="1"/>
  <c r="C47" i="1"/>
  <c r="C46" i="1"/>
  <c r="C45" i="1"/>
  <c r="C42" i="1"/>
  <c r="C40" i="1"/>
  <c r="C34" i="1"/>
  <c r="C31" i="1"/>
  <c r="C29" i="1"/>
  <c r="C23" i="1"/>
  <c r="C20" i="1"/>
  <c r="C18" i="1"/>
  <c r="B3" i="1"/>
  <c r="B673" i="1"/>
  <c r="B876" i="1"/>
  <c r="F1027" i="1"/>
  <c r="F602" i="1"/>
  <c r="B688" i="1"/>
  <c r="F786" i="1"/>
  <c r="F874" i="1"/>
  <c r="B518" i="1"/>
  <c r="B329" i="1"/>
  <c r="F328" i="1"/>
  <c r="B668" i="1"/>
  <c r="F802" i="1"/>
  <c r="F929" i="1"/>
  <c r="F303" i="1"/>
  <c r="F699" i="1"/>
  <c r="B1075" i="1"/>
  <c r="B946" i="1"/>
  <c r="F559" i="1"/>
  <c r="B760" i="1"/>
  <c r="F875" i="1"/>
  <c r="F972" i="1"/>
  <c r="B589" i="1"/>
  <c r="B685" i="1"/>
  <c r="F758" i="1"/>
  <c r="F253" i="1"/>
  <c r="F538" i="1"/>
  <c r="F23" i="1"/>
  <c r="F307" i="1"/>
  <c r="F873" i="1"/>
  <c r="B525" i="1"/>
  <c r="B871" i="1"/>
  <c r="F389" i="1"/>
  <c r="F933" i="1"/>
  <c r="B895" i="1"/>
  <c r="F843" i="1"/>
  <c r="F816" i="1"/>
  <c r="F918" i="1"/>
  <c r="F554" i="1"/>
  <c r="F492" i="1"/>
  <c r="B325" i="1"/>
  <c r="F587" i="1"/>
  <c r="B816" i="1"/>
  <c r="B716" i="1"/>
  <c r="B599" i="1"/>
  <c r="B572" i="1"/>
  <c r="F664" i="1"/>
  <c r="F572" i="1"/>
  <c r="B387" i="1"/>
  <c r="F925" i="1"/>
  <c r="F889" i="1"/>
  <c r="B841" i="1"/>
  <c r="F808" i="1"/>
  <c r="B908" i="1"/>
  <c r="F532" i="1"/>
  <c r="F412" i="1"/>
  <c r="B322" i="1"/>
  <c r="B577" i="1"/>
  <c r="F545" i="1"/>
  <c r="B932" i="1"/>
  <c r="F761" i="1"/>
  <c r="F517" i="1"/>
  <c r="B1002" i="1"/>
  <c r="B781" i="1"/>
  <c r="F928" i="1"/>
  <c r="F841" i="1"/>
  <c r="B804" i="1"/>
  <c r="B784" i="1"/>
  <c r="F733" i="1"/>
  <c r="B601" i="1"/>
  <c r="F325" i="1"/>
  <c r="F876" i="1"/>
  <c r="F655" i="1"/>
  <c r="B135" i="1"/>
  <c r="B1088" i="1"/>
  <c r="F1039" i="1"/>
  <c r="F917" i="1"/>
  <c r="F838" i="1"/>
  <c r="B833" i="1"/>
  <c r="B789" i="1"/>
  <c r="B766" i="1"/>
  <c r="F526" i="1"/>
  <c r="F388" i="1"/>
  <c r="F280" i="1"/>
  <c r="F557" i="1"/>
  <c r="F683" i="1"/>
  <c r="B672" i="1"/>
  <c r="F524" i="1"/>
  <c r="F914" i="1"/>
  <c r="B843" i="1"/>
  <c r="F698" i="1"/>
  <c r="B531" i="1"/>
  <c r="F686" i="1"/>
  <c r="F693" i="1"/>
  <c r="B372" i="1"/>
  <c r="B663" i="1"/>
  <c r="F915" i="1"/>
  <c r="F654" i="1"/>
  <c r="F581" i="1"/>
  <c r="F124" i="1"/>
  <c r="F658" i="1"/>
  <c r="F971" i="1"/>
  <c r="B375" i="1"/>
  <c r="B373" i="1"/>
  <c r="B560" i="1"/>
  <c r="B651" i="1"/>
  <c r="F549" i="1"/>
  <c r="F522" i="1"/>
  <c r="F656" i="1"/>
  <c r="F1005" i="1"/>
  <c r="F387" i="1"/>
  <c r="F529" i="1"/>
  <c r="F966" i="1"/>
  <c r="B978" i="1"/>
  <c r="F954" i="1"/>
  <c r="F687" i="1"/>
  <c r="B1063" i="1"/>
  <c r="B186" i="1"/>
  <c r="F375" i="1"/>
  <c r="F723" i="1"/>
  <c r="B823" i="1"/>
  <c r="F748" i="1"/>
  <c r="F684" i="1"/>
  <c r="B173" i="1"/>
  <c r="B401" i="1"/>
  <c r="F921" i="1"/>
  <c r="F746" i="1"/>
  <c r="F682" i="1"/>
  <c r="F1077" i="1"/>
  <c r="F608" i="1"/>
  <c r="F820" i="1"/>
  <c r="B948" i="1"/>
  <c r="B559" i="1"/>
  <c r="B656" i="1"/>
  <c r="F745" i="1"/>
  <c r="B822" i="1"/>
  <c r="F373" i="1"/>
  <c r="B151" i="1"/>
  <c r="F197" i="1"/>
  <c r="B520" i="1"/>
  <c r="B604" i="1"/>
  <c r="F537" i="1"/>
  <c r="B528" i="1"/>
  <c r="B606" i="1"/>
  <c r="F790" i="1"/>
  <c r="F890" i="1"/>
  <c r="F527" i="1"/>
  <c r="B719" i="1"/>
  <c r="F825" i="1"/>
  <c r="B920" i="1"/>
  <c r="B548" i="1"/>
  <c r="B653" i="1"/>
  <c r="F717" i="1"/>
  <c r="B147" i="1"/>
  <c r="B974" i="1"/>
  <c r="B655" i="1"/>
  <c r="B168" i="1"/>
  <c r="F823" i="1"/>
  <c r="F424" i="1"/>
  <c r="B821" i="1"/>
  <c r="F945" i="1"/>
  <c r="F867" i="1"/>
  <c r="F814" i="1"/>
  <c r="F803" i="1"/>
  <c r="F750" i="1"/>
  <c r="F714" i="1"/>
  <c r="B389" i="1"/>
  <c r="F292" i="1"/>
  <c r="F155" i="1"/>
  <c r="B529" i="1"/>
  <c r="F752" i="1"/>
  <c r="F922" i="1"/>
  <c r="B311" i="1"/>
  <c r="B342" i="1"/>
  <c r="F540" i="1"/>
  <c r="F832" i="1"/>
  <c r="B934" i="1"/>
  <c r="B865" i="1"/>
  <c r="F806" i="1"/>
  <c r="B801" i="1"/>
  <c r="B748" i="1"/>
  <c r="F611" i="1"/>
  <c r="B374" i="1"/>
  <c r="B281" i="1"/>
  <c r="F152" i="1"/>
  <c r="B519" i="1"/>
  <c r="F662" i="1"/>
  <c r="F515" i="1"/>
  <c r="B578" i="1"/>
  <c r="F170" i="1"/>
  <c r="F713" i="1"/>
  <c r="F425" i="1"/>
  <c r="B826" i="1"/>
  <c r="B790" i="1"/>
  <c r="B746" i="1"/>
  <c r="B718" i="1"/>
  <c r="F676" i="1"/>
  <c r="F465" i="1"/>
  <c r="F150" i="1"/>
  <c r="B359" i="1"/>
  <c r="F783" i="1"/>
  <c r="B916" i="1"/>
  <c r="F695" i="1"/>
  <c r="B910" i="1"/>
  <c r="B839" i="1"/>
  <c r="F789" i="1"/>
  <c r="B767" i="1"/>
  <c r="B731" i="1"/>
  <c r="F595" i="1"/>
  <c r="F310" i="1"/>
  <c r="B266" i="1"/>
  <c r="F146" i="1"/>
  <c r="F491" i="1"/>
  <c r="B590" i="1"/>
  <c r="B825" i="1"/>
  <c r="B425" i="1"/>
  <c r="F599" i="1"/>
  <c r="F747" i="1"/>
  <c r="B933" i="1"/>
  <c r="B450" i="1"/>
  <c r="B45" i="1"/>
  <c r="B664" i="1"/>
  <c r="F323" i="1"/>
  <c r="B824" i="1"/>
  <c r="B912" i="1"/>
  <c r="F531" i="1"/>
  <c r="B751" i="1"/>
  <c r="B254" i="1"/>
  <c r="B867" i="1"/>
  <c r="B305" i="1"/>
  <c r="F896" i="1"/>
  <c r="B712" i="1"/>
  <c r="F327" i="1"/>
  <c r="B828" i="1"/>
  <c r="F697" i="1"/>
  <c r="B23" i="1"/>
  <c r="B873" i="1"/>
  <c r="F546" i="1"/>
  <c r="B1052" i="1"/>
  <c r="F345" i="1"/>
  <c r="F692" i="1"/>
  <c r="F463" i="1"/>
  <c r="B780" i="1"/>
  <c r="B690" i="1"/>
  <c r="B969" i="1"/>
  <c r="F401" i="1"/>
  <c r="F828" i="1"/>
  <c r="B807" i="1"/>
  <c r="B171" i="1"/>
  <c r="B360" i="1"/>
  <c r="B838" i="1"/>
  <c r="B971" i="1"/>
  <c r="B669" i="1"/>
  <c r="B954" i="1"/>
  <c r="F576" i="1"/>
  <c r="F779" i="1"/>
  <c r="F892" i="1"/>
  <c r="F989" i="1"/>
  <c r="B597" i="1"/>
  <c r="B693" i="1"/>
  <c r="F766" i="1"/>
  <c r="B303" i="1"/>
  <c r="F681" i="1"/>
  <c r="F58" i="1"/>
  <c r="B346" i="1"/>
  <c r="B516" i="1"/>
  <c r="F1089" i="1"/>
  <c r="B612" i="1"/>
  <c r="B574" i="1"/>
  <c r="F667" i="1"/>
  <c r="B829" i="1"/>
  <c r="B439" i="1"/>
  <c r="B678" i="1"/>
  <c r="F784" i="1"/>
  <c r="B870" i="1"/>
  <c r="B975" i="1"/>
  <c r="B586" i="1"/>
  <c r="B674" i="1"/>
  <c r="F785" i="1"/>
  <c r="F148" i="1"/>
  <c r="F438" i="1"/>
  <c r="F542" i="1"/>
  <c r="F782" i="1"/>
  <c r="B834" i="1"/>
  <c r="F809" i="1"/>
  <c r="B754" i="1"/>
  <c r="F728" i="1"/>
  <c r="B521" i="1"/>
  <c r="F46" i="1"/>
  <c r="F571" i="1"/>
  <c r="F308" i="1"/>
  <c r="B715" i="1"/>
  <c r="F720" i="1"/>
  <c r="B490" i="1"/>
  <c r="B891" i="1"/>
  <c r="B515" i="1"/>
  <c r="F967" i="1"/>
  <c r="B724" i="1"/>
  <c r="B607" i="1"/>
  <c r="B913" i="1"/>
  <c r="F535" i="1"/>
  <c r="B727" i="1"/>
  <c r="F833" i="1"/>
  <c r="B928" i="1"/>
  <c r="B556" i="1"/>
  <c r="B661" i="1"/>
  <c r="F725" i="1"/>
  <c r="B155" i="1"/>
  <c r="F113" i="1"/>
  <c r="B671" i="1"/>
  <c r="F173" i="1"/>
  <c r="F342" i="1"/>
  <c r="B877" i="1"/>
  <c r="F374" i="1"/>
  <c r="F450" i="1"/>
  <c r="B533" i="1"/>
  <c r="B788" i="1"/>
  <c r="B1089" i="1"/>
  <c r="B628" i="1"/>
  <c r="B732" i="1"/>
  <c r="B812" i="1"/>
  <c r="F919" i="1"/>
  <c r="F539" i="1"/>
  <c r="B615" i="1"/>
  <c r="B617" i="1"/>
  <c r="F854" i="1"/>
  <c r="F590" i="1"/>
  <c r="B676" i="1"/>
  <c r="F732" i="1"/>
  <c r="F953" i="1"/>
  <c r="B730" i="1"/>
  <c r="F754" i="1"/>
  <c r="B749" i="1"/>
  <c r="B696" i="1"/>
  <c r="B677" i="1"/>
  <c r="F617" i="1"/>
  <c r="F343" i="1"/>
  <c r="B102" i="1"/>
  <c r="B152" i="1"/>
  <c r="B1038" i="1"/>
  <c r="F69" i="1"/>
  <c r="B280" i="1"/>
  <c r="B605" i="1"/>
  <c r="F45" i="1"/>
  <c r="B547" i="1"/>
  <c r="B584" i="1"/>
  <c r="F973" i="1"/>
  <c r="B752" i="1"/>
  <c r="F726" i="1"/>
  <c r="F690" i="1"/>
  <c r="F671" i="1"/>
  <c r="F609" i="1"/>
  <c r="B341" i="1"/>
  <c r="B46" i="1"/>
  <c r="B926" i="1"/>
  <c r="B667" i="1"/>
  <c r="F827" i="1"/>
  <c r="B550" i="1"/>
  <c r="F516" i="1"/>
  <c r="B927" i="1"/>
  <c r="F309" i="1"/>
  <c r="F762" i="1"/>
  <c r="F600" i="1"/>
  <c r="B931" i="1"/>
  <c r="B639" i="1"/>
  <c r="B814" i="1"/>
  <c r="F91" i="1"/>
  <c r="F464" i="1"/>
  <c r="B557" i="1"/>
  <c r="B549" i="1"/>
  <c r="B953" i="1"/>
  <c r="F891" i="1"/>
  <c r="F868" i="1"/>
  <c r="B489" i="1"/>
  <c r="B150" i="1"/>
  <c r="B723" i="1"/>
  <c r="B491" i="1"/>
  <c r="F543" i="1"/>
  <c r="F947" i="1"/>
  <c r="B889" i="1"/>
  <c r="B725" i="1"/>
  <c r="F598" i="1"/>
  <c r="F521" i="1"/>
  <c r="F837" i="1"/>
  <c r="F266" i="1"/>
  <c r="F710" i="1"/>
  <c r="B541" i="1"/>
  <c r="B600" i="1"/>
  <c r="F835" i="1"/>
  <c r="B328" i="1"/>
  <c r="B530" i="1"/>
  <c r="F1004" i="1"/>
  <c r="F665" i="1"/>
  <c r="F830" i="1"/>
  <c r="B744" i="1"/>
  <c r="B592" i="1"/>
  <c r="B909" i="1"/>
  <c r="F601" i="1"/>
  <c r="F154" i="1"/>
  <c r="B544" i="1"/>
  <c r="B811" i="1"/>
  <c r="B524" i="1"/>
  <c r="B1039" i="1"/>
  <c r="F439" i="1"/>
  <c r="F787" i="1"/>
  <c r="B970" i="1"/>
  <c r="F1063" i="1"/>
  <c r="F476" i="1"/>
  <c r="B977" i="1"/>
  <c r="F186" i="1"/>
  <c r="F813" i="1"/>
  <c r="B292" i="1"/>
  <c r="B413" i="1"/>
  <c r="F279" i="1"/>
  <c r="F34" i="1"/>
  <c r="F974" i="1"/>
  <c r="F978" i="1"/>
  <c r="B242" i="1"/>
  <c r="F871" i="1"/>
  <c r="B809" i="1"/>
  <c r="F755" i="1"/>
  <c r="B919" i="1"/>
  <c r="B267" i="1"/>
  <c r="F1038" i="1"/>
  <c r="B837" i="1"/>
  <c r="B686" i="1"/>
  <c r="B878" i="1"/>
  <c r="B594" i="1"/>
  <c r="B660" i="1"/>
  <c r="B209" i="1"/>
  <c r="F948" i="1"/>
  <c r="F1100" i="1"/>
  <c r="B968" i="1"/>
  <c r="B691" i="1"/>
  <c r="F869" i="1"/>
  <c r="B583" i="1"/>
  <c r="F657" i="1"/>
  <c r="B306" i="1"/>
  <c r="F912" i="1"/>
  <c r="B694" i="1"/>
  <c r="F650" i="1"/>
  <c r="B149" i="1"/>
  <c r="F326" i="1"/>
  <c r="B514" i="1"/>
  <c r="F688" i="1"/>
  <c r="F615" i="1"/>
  <c r="F670" i="1"/>
  <c r="F541" i="1"/>
  <c r="F804" i="1"/>
  <c r="B1004" i="1"/>
  <c r="F588" i="1"/>
  <c r="B503" i="1"/>
  <c r="B915" i="1"/>
  <c r="B914" i="1"/>
  <c r="F672" i="1"/>
  <c r="F712" i="1"/>
  <c r="B1064" i="1"/>
  <c r="F810" i="1"/>
  <c r="B922" i="1"/>
  <c r="B950" i="1"/>
  <c r="B343" i="1"/>
  <c r="F167" i="1"/>
  <c r="F304" i="1"/>
  <c r="F696" i="1"/>
  <c r="F579" i="1"/>
  <c r="B476" i="1"/>
  <c r="F893" i="1"/>
  <c r="B553" i="1"/>
  <c r="B657" i="1"/>
  <c r="B593" i="1"/>
  <c r="B805" i="1"/>
  <c r="B820" i="1"/>
  <c r="F547" i="1"/>
  <c r="B832" i="1"/>
  <c r="B896" i="1"/>
  <c r="F870" i="1"/>
  <c r="B659" i="1"/>
  <c r="B542" i="1"/>
  <c r="B911" i="1"/>
  <c r="F639" i="1"/>
  <c r="B581" i="1"/>
  <c r="B894" i="1"/>
  <c r="B575" i="1"/>
  <c r="F533" i="1"/>
  <c r="F781" i="1"/>
  <c r="F560" i="1"/>
  <c r="B477" i="1"/>
  <c r="F689" i="1"/>
  <c r="F372" i="1"/>
  <c r="F1076" i="1"/>
  <c r="B172" i="1"/>
  <c r="B540" i="1"/>
  <c r="F1050" i="1"/>
  <c r="F552" i="1"/>
  <c r="F534" i="1"/>
  <c r="F923" i="1"/>
  <c r="F765" i="1"/>
  <c r="F679" i="1"/>
  <c r="B711" i="1"/>
  <c r="F220" i="1"/>
  <c r="B924" i="1"/>
  <c r="F436" i="1"/>
  <c r="B662" i="1"/>
  <c r="B412" i="1"/>
  <c r="F675" i="1"/>
  <c r="B582" i="1"/>
  <c r="B654" i="1"/>
  <c r="B720" i="1"/>
  <c r="B58" i="1"/>
  <c r="B918" i="1"/>
  <c r="F819" i="1"/>
  <c r="F489" i="1"/>
  <c r="B842" i="1"/>
  <c r="B526" i="1"/>
  <c r="B465" i="1"/>
  <c r="B779" i="1"/>
  <c r="B650" i="1"/>
  <c r="B835" i="1"/>
  <c r="B464" i="1"/>
  <c r="B747" i="1"/>
  <c r="F594" i="1"/>
  <c r="F916" i="1"/>
  <c r="B174" i="1"/>
  <c r="B598" i="1"/>
  <c r="B683" i="1"/>
  <c r="F347" i="1"/>
  <c r="B175" i="1"/>
  <c r="B344" i="1"/>
  <c r="F360" i="1"/>
  <c r="F839" i="1"/>
  <c r="B1100" i="1"/>
  <c r="F330" i="1"/>
  <c r="B436" i="1"/>
  <c r="F344" i="1"/>
  <c r="F661" i="1"/>
  <c r="F722" i="1"/>
  <c r="B614" i="1"/>
  <c r="F872" i="1"/>
  <c r="B806" i="1"/>
  <c r="F719" i="1"/>
  <c r="B787" i="1"/>
  <c r="B802" i="1"/>
  <c r="B810" i="1"/>
  <c r="F731" i="1"/>
  <c r="B930" i="1"/>
  <c r="F727" i="1"/>
  <c r="F951" i="1"/>
  <c r="B307" i="1"/>
  <c r="F767" i="1"/>
  <c r="F597" i="1"/>
  <c r="B785" i="1"/>
  <c r="B452" i="1"/>
  <c r="B875" i="1"/>
  <c r="F764" i="1"/>
  <c r="F437" i="1"/>
  <c r="B146" i="1"/>
  <c r="F604" i="1"/>
  <c r="F525" i="1"/>
  <c r="F756" i="1"/>
  <c r="F555" i="1"/>
  <c r="B761" i="1"/>
  <c r="F242" i="1"/>
  <c r="F361" i="1"/>
  <c r="B753" i="1"/>
  <c r="B34" i="1"/>
  <c r="B591" i="1"/>
  <c r="F831" i="1"/>
  <c r="B551" i="1"/>
  <c r="F47" i="1"/>
  <c r="F610" i="1"/>
  <c r="F209" i="1"/>
  <c r="F895" i="1"/>
  <c r="B722" i="1"/>
  <c r="F174" i="1"/>
  <c r="B166" i="1"/>
  <c r="B304" i="1"/>
  <c r="B613" i="1"/>
  <c r="B952" i="1"/>
  <c r="F909" i="1"/>
  <c r="F674" i="1"/>
  <c r="B695" i="1"/>
  <c r="F267" i="1"/>
  <c r="B765" i="1"/>
  <c r="B596" i="1"/>
  <c r="B698" i="1"/>
  <c r="B538" i="1"/>
  <c r="B827" i="1"/>
  <c r="B764" i="1"/>
  <c r="F913" i="1"/>
  <c r="F759" i="1"/>
  <c r="F451" i="1"/>
  <c r="F668" i="1"/>
  <c r="F490" i="1"/>
  <c r="B757" i="1"/>
  <c r="F878" i="1"/>
  <c r="B756" i="1"/>
  <c r="F757" i="1"/>
  <c r="F908" i="1"/>
  <c r="B595" i="1"/>
  <c r="F927" i="1"/>
  <c r="F413" i="1"/>
  <c r="F970" i="1"/>
  <c r="B868" i="1"/>
  <c r="B345" i="1"/>
  <c r="B854" i="1"/>
  <c r="F574" i="1"/>
  <c r="F514" i="1"/>
  <c r="B917" i="1"/>
  <c r="F544" i="1"/>
  <c r="B869" i="1"/>
  <c r="F965" i="1"/>
  <c r="F558" i="1"/>
  <c r="B687" i="1"/>
  <c r="B717" i="1"/>
  <c r="F305" i="1"/>
  <c r="B658" i="1"/>
  <c r="B390" i="1"/>
  <c r="F834" i="1"/>
  <c r="B554" i="1"/>
  <c r="F877" i="1"/>
  <c r="B324" i="1"/>
  <c r="F920" i="1"/>
  <c r="F812" i="1"/>
  <c r="B680" i="1"/>
  <c r="F1016" i="1"/>
  <c r="F724" i="1"/>
  <c r="F386" i="1"/>
  <c r="F1075" i="1"/>
  <c r="B921" i="1"/>
  <c r="F341" i="1"/>
  <c r="B113" i="1"/>
  <c r="B1016" i="1"/>
  <c r="B326" i="1"/>
  <c r="B813" i="1"/>
  <c r="F322" i="1"/>
  <c r="B517" i="1"/>
  <c r="F660" i="1"/>
  <c r="B358" i="1"/>
  <c r="B679" i="1"/>
  <c r="B69" i="1"/>
  <c r="B815" i="1"/>
  <c r="B989" i="1"/>
  <c r="F821" i="1"/>
  <c r="F778" i="1"/>
  <c r="F931" i="1"/>
  <c r="F826" i="1"/>
  <c r="F666" i="1"/>
  <c r="B580" i="1"/>
  <c r="B463" i="1"/>
  <c r="F135" i="1"/>
  <c r="B923" i="1"/>
  <c r="F452" i="1"/>
  <c r="B689" i="1"/>
  <c r="F663" i="1"/>
  <c r="F311" i="1"/>
  <c r="F172" i="1"/>
  <c r="F208" i="1"/>
  <c r="B803" i="1"/>
  <c r="F694" i="1"/>
  <c r="B424" i="1"/>
  <c r="F673" i="1"/>
  <c r="B726" i="1"/>
  <c r="F805" i="1"/>
  <c r="B947" i="1"/>
  <c r="F815" i="1"/>
  <c r="F324" i="1"/>
  <c r="F580" i="1"/>
  <c r="B670" i="1"/>
  <c r="B167" i="1"/>
  <c r="F817" i="1"/>
  <c r="F171" i="1"/>
  <c r="B543" i="1"/>
  <c r="B323" i="1"/>
  <c r="F606" i="1"/>
  <c r="F520" i="1"/>
  <c r="F716" i="1"/>
  <c r="F586" i="1"/>
  <c r="F930" i="1"/>
  <c r="B728" i="1"/>
  <c r="B965" i="1"/>
  <c r="B840" i="1"/>
  <c r="B361" i="1"/>
  <c r="B729" i="1"/>
  <c r="B733" i="1"/>
  <c r="B697" i="1"/>
  <c r="F866" i="1"/>
  <c r="B1005" i="1"/>
  <c r="F818" i="1"/>
  <c r="B786" i="1"/>
  <c r="F575" i="1"/>
  <c r="B154" i="1"/>
  <c r="B836" i="1"/>
  <c r="F680" i="1"/>
  <c r="B558" i="1"/>
  <c r="B967" i="1"/>
  <c r="F605" i="1"/>
  <c r="F840" i="1"/>
  <c r="B778" i="1"/>
  <c r="B666" i="1"/>
  <c r="F1088" i="1"/>
  <c r="B610" i="1"/>
  <c r="B532" i="1"/>
  <c r="F824" i="1"/>
  <c r="F528" i="1"/>
  <c r="B309" i="1"/>
  <c r="F842" i="1"/>
  <c r="F503" i="1"/>
  <c r="F653" i="1"/>
  <c r="F607" i="1"/>
  <c r="F582" i="1"/>
  <c r="B759" i="1"/>
  <c r="F593" i="1"/>
  <c r="B713" i="1"/>
  <c r="F577" i="1"/>
  <c r="B745" i="1"/>
  <c r="B1027" i="1"/>
  <c r="B831" i="1"/>
  <c r="F306" i="1"/>
  <c r="B552" i="1"/>
  <c r="B571" i="1"/>
  <c r="B585" i="1"/>
  <c r="F477" i="1"/>
  <c r="F807" i="1"/>
  <c r="F1000" i="1"/>
  <c r="B197" i="1"/>
  <c r="F1064" i="1"/>
  <c r="F523" i="1"/>
  <c r="B951" i="1"/>
  <c r="F346" i="1"/>
  <c r="F596" i="1"/>
  <c r="F760" i="1"/>
  <c r="F911" i="1"/>
  <c r="B1000" i="1"/>
  <c r="F969" i="1"/>
  <c r="F231" i="1"/>
  <c r="B308" i="1"/>
  <c r="F652" i="1"/>
  <c r="F168" i="1"/>
  <c r="F934" i="1"/>
  <c r="F865" i="1"/>
  <c r="B763" i="1"/>
  <c r="B616" i="1"/>
  <c r="B478" i="1"/>
  <c r="B874" i="1"/>
  <c r="B818" i="1"/>
  <c r="B386" i="1"/>
  <c r="B602" i="1"/>
  <c r="B783" i="1"/>
  <c r="B1076" i="1"/>
  <c r="F763" i="1"/>
  <c r="F166" i="1"/>
  <c r="F729" i="1"/>
  <c r="F910" i="1"/>
  <c r="B124" i="1"/>
  <c r="B536" i="1"/>
  <c r="B576" i="1"/>
  <c r="F924" i="1"/>
  <c r="F721" i="1"/>
  <c r="F691" i="1"/>
  <c r="B545" i="1"/>
  <c r="F677" i="1"/>
  <c r="F265" i="1"/>
  <c r="F932" i="1"/>
  <c r="F592" i="1"/>
  <c r="F926" i="1"/>
  <c r="F744" i="1"/>
  <c r="B830" i="1"/>
  <c r="F102" i="1"/>
  <c r="B682" i="1"/>
  <c r="B972" i="1"/>
  <c r="F949" i="1"/>
  <c r="B608" i="1"/>
  <c r="F780" i="1"/>
  <c r="B872" i="1"/>
  <c r="F278" i="1"/>
  <c r="F551" i="1"/>
  <c r="F589" i="1"/>
  <c r="B279" i="1"/>
  <c r="B534" i="1"/>
  <c r="B976" i="1"/>
  <c r="B1001" i="1"/>
  <c r="B555" i="1"/>
  <c r="B253" i="1"/>
  <c r="F749" i="1"/>
  <c r="B665" i="1"/>
  <c r="B762" i="1"/>
  <c r="B492" i="1"/>
  <c r="B819" i="1"/>
  <c r="B929" i="1"/>
  <c r="F553" i="1"/>
  <c r="B148" i="1"/>
  <c r="F614" i="1"/>
  <c r="F548" i="1"/>
  <c r="F175" i="1"/>
  <c r="F616" i="1"/>
  <c r="F1003" i="1"/>
  <c r="B80" i="1"/>
  <c r="B808" i="1"/>
  <c r="F711" i="1"/>
  <c r="F550" i="1"/>
  <c r="F584" i="1"/>
  <c r="B611" i="1"/>
  <c r="B573" i="1"/>
  <c r="B278" i="1"/>
  <c r="F556" i="1"/>
  <c r="F147" i="1"/>
  <c r="F149" i="1"/>
  <c r="F628" i="1"/>
  <c r="F603" i="1"/>
  <c r="F585" i="1"/>
  <c r="F478" i="1"/>
  <c r="B91" i="1"/>
  <c r="B451" i="1"/>
  <c r="B721" i="1"/>
  <c r="B652" i="1"/>
  <c r="B327" i="1"/>
  <c r="F613" i="1"/>
  <c r="F968" i="1"/>
  <c r="F715" i="1"/>
  <c r="F977" i="1"/>
  <c r="B220" i="1"/>
  <c r="F975" i="1"/>
  <c r="B437" i="1"/>
  <c r="B897" i="1"/>
  <c r="B750" i="1"/>
  <c r="F153" i="1"/>
  <c r="F254" i="1"/>
  <c r="F836" i="1"/>
  <c r="F390" i="1"/>
  <c r="F578" i="1"/>
  <c r="B755" i="1"/>
  <c r="F281" i="1"/>
  <c r="B1050" i="1"/>
  <c r="B1003" i="1"/>
  <c r="F329" i="1"/>
  <c r="B438" i="1"/>
  <c r="B347" i="1"/>
  <c r="B153" i="1"/>
  <c r="F583" i="1"/>
  <c r="B714" i="1"/>
  <c r="F1051" i="1"/>
  <c r="F659" i="1"/>
  <c r="B208" i="1"/>
  <c r="B973" i="1"/>
  <c r="F151" i="1"/>
  <c r="F1052" i="1"/>
  <c r="B893" i="1"/>
  <c r="F730" i="1"/>
  <c r="F518" i="1"/>
  <c r="B170" i="1"/>
  <c r="F359" i="1"/>
  <c r="B527" i="1"/>
  <c r="B925" i="1"/>
  <c r="F894" i="1"/>
  <c r="F573" i="1"/>
  <c r="B949" i="1"/>
  <c r="B892" i="1"/>
  <c r="F788" i="1"/>
  <c r="B782" i="1"/>
  <c r="B522" i="1"/>
  <c r="B535" i="1"/>
  <c r="B330" i="1"/>
  <c r="F1002" i="1"/>
  <c r="F801" i="1"/>
  <c r="B587" i="1"/>
  <c r="F651" i="1"/>
  <c r="B710" i="1"/>
  <c r="B1051" i="1"/>
  <c r="B537" i="1"/>
  <c r="B588" i="1"/>
  <c r="F612" i="1"/>
  <c r="B866" i="1"/>
  <c r="F718" i="1"/>
  <c r="F530" i="1"/>
  <c r="B388" i="1"/>
  <c r="F950" i="1"/>
  <c r="B890" i="1"/>
  <c r="B546" i="1"/>
  <c r="F976" i="1"/>
  <c r="B966" i="1"/>
  <c r="B675" i="1"/>
  <c r="F669" i="1"/>
  <c r="B539" i="1"/>
  <c r="F685" i="1"/>
  <c r="F753" i="1"/>
  <c r="B169" i="1"/>
  <c r="B684" i="1"/>
  <c r="B758" i="1"/>
  <c r="B681" i="1"/>
  <c r="B603" i="1"/>
  <c r="B523" i="1"/>
  <c r="F536" i="1"/>
  <c r="F829" i="1"/>
  <c r="F822" i="1"/>
  <c r="F751" i="1"/>
  <c r="B609" i="1"/>
  <c r="B579" i="1"/>
  <c r="F952" i="1"/>
  <c r="B310" i="1"/>
  <c r="B265" i="1"/>
  <c r="F946" i="1"/>
  <c r="B692" i="1"/>
  <c r="F169" i="1"/>
  <c r="F591" i="1"/>
  <c r="F358" i="1"/>
  <c r="B699" i="1"/>
  <c r="F1001" i="1"/>
  <c r="B1077" i="1"/>
  <c r="B817" i="1"/>
  <c r="F678" i="1"/>
  <c r="B945" i="1"/>
  <c r="F519" i="1"/>
  <c r="F80" i="1"/>
  <c r="B231" i="1"/>
  <c r="F897" i="1"/>
  <c r="F811" i="1"/>
  <c r="B47" i="1"/>
  <c r="F561" i="1" l="1"/>
  <c r="F312" i="1"/>
  <c r="F70" i="1"/>
  <c r="F210" i="1"/>
  <c r="F221" i="1"/>
  <c r="F440" i="1"/>
  <c r="F618" i="1"/>
  <c r="F1078" i="1"/>
  <c r="F35" i="1"/>
  <c r="F156" i="1"/>
  <c r="F268" i="1"/>
  <c r="F629" i="1"/>
  <c r="F81" i="1"/>
  <c r="F466" i="1"/>
  <c r="F103" i="1"/>
  <c r="F293" i="1"/>
  <c r="F414" i="1"/>
  <c r="F1065" i="1"/>
  <c r="F125" i="1"/>
  <c r="F187" i="1"/>
  <c r="F232" i="1"/>
  <c r="F24" i="1"/>
  <c r="F59" i="1"/>
  <c r="F136" i="1"/>
  <c r="F198" i="1"/>
  <c r="F243" i="1"/>
  <c r="F493" i="1"/>
  <c r="F855" i="1"/>
  <c r="F348" i="1"/>
  <c r="F391" i="1"/>
  <c r="F48" i="1"/>
  <c r="F114" i="1"/>
  <c r="F92" i="1"/>
  <c r="F282" i="1"/>
  <c r="F362" i="1"/>
  <c r="F402" i="1"/>
  <c r="F768" i="1"/>
  <c r="F176" i="1"/>
  <c r="F255" i="1"/>
  <c r="F331" i="1"/>
  <c r="F504" i="1"/>
  <c r="F935" i="1"/>
  <c r="F1006" i="1"/>
  <c r="F791" i="1"/>
  <c r="F1040" i="1"/>
  <c r="F700" i="1"/>
  <c r="F898" i="1"/>
  <c r="F990" i="1"/>
  <c r="F1053" i="1"/>
  <c r="F734" i="1"/>
  <c r="F844" i="1"/>
  <c r="F1028" i="1"/>
  <c r="F1090" i="1"/>
  <c r="F640" i="1"/>
  <c r="F955" i="1"/>
  <c r="F1101" i="1"/>
  <c r="F376" i="1"/>
  <c r="F426" i="1"/>
  <c r="F453" i="1"/>
  <c r="F479" i="1"/>
  <c r="F879" i="1"/>
  <c r="F979" i="1"/>
  <c r="F1017" i="1"/>
  <c r="B10" i="1" l="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A46C95AF-18DA-43DF-9B14-7CB66172CD59}">
      <text>
        <r>
          <rPr>
            <b/>
            <sz val="9"/>
            <rFont val="Tahoma"/>
            <family val="2"/>
          </rPr>
          <t>Introduzca el año del PACC</t>
        </r>
      </text>
    </comment>
    <comment ref="E12" authorId="0" shapeId="0" xr:uid="{6B12DD4A-0A75-4FD6-B430-1F6EB87C1C8C}">
      <text>
        <r>
          <rPr>
            <b/>
            <sz val="9"/>
            <rFont val="Tahoma"/>
            <family val="2"/>
          </rPr>
          <t>Introduzca la fecha de aprobación, en formato dd/mm/aaaa</t>
        </r>
      </text>
    </comment>
    <comment ref="A16" authorId="1" shapeId="0" xr:uid="{14A0EFD5-D268-45BC-AE0E-16B494DF1D73}">
      <text>
        <r>
          <rPr>
            <sz val="11"/>
            <color theme="1"/>
            <rFont val="Calibri"/>
            <family val="2"/>
            <scheme val="minor"/>
          </rPr>
          <t>Introducir un texto con el nombre o referencia de la contratación</t>
        </r>
      </text>
    </comment>
    <comment ref="B16" authorId="1" shapeId="0" xr:uid="{C996E42E-7D7D-47E4-8639-1CAF4632F9D5}">
      <text>
        <r>
          <rPr>
            <sz val="11"/>
            <color theme="1"/>
            <rFont val="Calibri"/>
            <family val="2"/>
            <scheme val="minor"/>
          </rPr>
          <t>Introduzca un texto con la finalidad de la contratación</t>
        </r>
      </text>
    </comment>
    <comment ref="C16" authorId="1" shapeId="0" xr:uid="{5EB0C686-246C-42DA-8FFC-8FDE55C50295}">
      <text>
        <r>
          <rPr>
            <sz val="11"/>
            <color theme="1"/>
            <rFont val="Calibri"/>
            <family val="2"/>
            <scheme val="minor"/>
          </rPr>
          <t>Seleccionar un valor del listado</t>
        </r>
      </text>
    </comment>
    <comment ref="D16" authorId="1" shapeId="0" xr:uid="{6B6A666F-2C99-4B88-9E8C-6DBDEE78E456}">
      <text>
        <r>
          <rPr>
            <sz val="11"/>
            <color theme="1"/>
            <rFont val="Calibri"/>
            <family val="2"/>
            <scheme val="minor"/>
          </rPr>
          <t>Seleccione el tipo de procedimiento</t>
        </r>
      </text>
    </comment>
    <comment ref="E16" authorId="1" shapeId="0" xr:uid="{F8A3173E-D2E7-4892-B9D6-93EA96F9F862}">
      <text>
        <r>
          <rPr>
            <sz val="11"/>
            <color theme="1"/>
            <rFont val="Calibri"/>
            <family val="2"/>
            <scheme val="minor"/>
          </rPr>
          <t>Seleccione un valor de la lista</t>
        </r>
      </text>
    </comment>
    <comment ref="F16" authorId="1" shapeId="0" xr:uid="{AB53BE55-0225-4604-A348-CCFB5C7A4866}">
      <text>
        <r>
          <rPr>
            <sz val="11"/>
            <color theme="1"/>
            <rFont val="Calibri"/>
            <family val="2"/>
            <scheme val="minor"/>
          </rPr>
          <t>Introduzca el código SNIP</t>
        </r>
      </text>
    </comment>
    <comment ref="C17" authorId="1" shapeId="0" xr:uid="{9FAADF1D-8485-453C-8782-80F363811FFF}">
      <text>
        <r>
          <rPr>
            <sz val="11"/>
            <color theme="1"/>
            <rFont val="Calibri"/>
            <family val="2"/>
            <scheme val="minor"/>
          </rPr>
          <t>Introduzca la fecha de inicio del proceso, en formato dd-mm-aaaa</t>
        </r>
      </text>
    </comment>
    <comment ref="F17" authorId="1" shapeId="0" xr:uid="{5E017FE1-5A72-4E55-8D7C-F7AE2D527A8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7F9C93BE-5921-45DC-8A72-EA119D0347AD}">
      <text/>
    </comment>
    <comment ref="C19" authorId="1" shapeId="0" xr:uid="{717E9C7B-1C0B-421A-AA91-975442917FF4}">
      <text>
        <r>
          <rPr>
            <sz val="11"/>
            <color theme="1"/>
            <rFont val="Calibri"/>
            <family val="2"/>
            <scheme val="minor"/>
          </rPr>
          <t>Introduzca la fecha prevista de adjudicación, en formato dd-mm-aaaa</t>
        </r>
      </text>
    </comment>
    <comment ref="F19" authorId="1" shapeId="0" xr:uid="{CCF27100-13B4-4D56-B448-38330BB8109F}">
      <text/>
    </comment>
    <comment ref="F20" authorId="1" shapeId="0" xr:uid="{CB5B65C6-8BFA-4568-90E7-EA72B8A1423B}">
      <text/>
    </comment>
    <comment ref="A22" authorId="1" shapeId="0" xr:uid="{06A57568-E728-4105-8528-BCFE07139761}">
      <text>
        <r>
          <rPr>
            <sz val="11"/>
            <color theme="1"/>
            <rFont val="Calibri"/>
            <family val="2"/>
            <scheme val="minor"/>
          </rPr>
          <t>Introduzca un codigo UNSPSC</t>
        </r>
      </text>
    </comment>
    <comment ref="B22" authorId="1" shapeId="0" xr:uid="{143849EE-16E4-4AE4-A270-D515F993AB1B}">
      <text>
        <r>
          <rPr>
            <sz val="11"/>
            <color theme="1"/>
            <rFont val="Calibri"/>
            <family val="2"/>
            <scheme val="minor"/>
          </rPr>
          <t>Descripción calculada automáticamente a partir de código del artículo</t>
        </r>
      </text>
    </comment>
    <comment ref="C22" authorId="1" shapeId="0" xr:uid="{3FC6A38D-E1BF-4A4D-88FA-17AF8313F0A6}">
      <text>
        <r>
          <rPr>
            <sz val="11"/>
            <color theme="1"/>
            <rFont val="Calibri"/>
            <family val="2"/>
            <scheme val="minor"/>
          </rPr>
          <t>Seleccione un valor de la lista</t>
        </r>
      </text>
    </comment>
    <comment ref="D22" authorId="1" shapeId="0" xr:uid="{F4D1709E-28F8-4791-86B7-F7C124757AB4}">
      <text>
        <r>
          <rPr>
            <sz val="11"/>
            <color theme="1"/>
            <rFont val="Calibri"/>
            <family val="2"/>
            <scheme val="minor"/>
          </rPr>
          <t>Introduzca un número con dos decimales como máximo. Debe ser igual o mayor a la "Cantidad Real Consumida"</t>
        </r>
      </text>
    </comment>
    <comment ref="E22" authorId="1" shapeId="0" xr:uid="{58AC81C9-8489-4E5F-B7AD-622249AC7266}">
      <text>
        <r>
          <rPr>
            <sz val="11"/>
            <color theme="1"/>
            <rFont val="Calibri"/>
            <family val="2"/>
            <scheme val="minor"/>
          </rPr>
          <t>Introduzca un número con dos decimales como máximo</t>
        </r>
      </text>
    </comment>
    <comment ref="F22" authorId="1" shapeId="0" xr:uid="{8290F2CE-39EE-4CA2-AF2D-FC7B59909A1A}">
      <text>
        <r>
          <rPr>
            <sz val="11"/>
            <color theme="1"/>
            <rFont val="Calibri"/>
            <family val="2"/>
            <scheme val="minor"/>
          </rPr>
          <t>Monto calculado automáticamente por el sistema</t>
        </r>
      </text>
    </comment>
    <comment ref="A27" authorId="1" shapeId="0" xr:uid="{555FFE57-C56F-4096-A619-4AC6C7E630C1}">
      <text>
        <r>
          <rPr>
            <sz val="11"/>
            <color theme="1"/>
            <rFont val="Calibri"/>
            <family val="2"/>
            <scheme val="minor"/>
          </rPr>
          <t>Introducir un texto con el nombre o referencia de la contratación</t>
        </r>
      </text>
    </comment>
    <comment ref="B27" authorId="1" shapeId="0" xr:uid="{9440C4AC-A0A7-45B6-8CAA-2D31821F6040}">
      <text>
        <r>
          <rPr>
            <sz val="11"/>
            <color theme="1"/>
            <rFont val="Calibri"/>
            <family val="2"/>
            <scheme val="minor"/>
          </rPr>
          <t>Introduzca un texto con la finalidad de la contratación</t>
        </r>
      </text>
    </comment>
    <comment ref="C27" authorId="1" shapeId="0" xr:uid="{22888C80-E6F0-4A0B-AEF9-11DA18B259FD}">
      <text>
        <r>
          <rPr>
            <sz val="11"/>
            <color theme="1"/>
            <rFont val="Calibri"/>
            <family val="2"/>
            <scheme val="minor"/>
          </rPr>
          <t>Seleccionar un valor del listado</t>
        </r>
      </text>
    </comment>
    <comment ref="D27" authorId="1" shapeId="0" xr:uid="{44C53B50-F4C7-421B-9940-D874A57F5971}">
      <text>
        <r>
          <rPr>
            <sz val="11"/>
            <color theme="1"/>
            <rFont val="Calibri"/>
            <family val="2"/>
            <scheme val="minor"/>
          </rPr>
          <t>Seleccione el tipo de procedimiento</t>
        </r>
      </text>
    </comment>
    <comment ref="E27" authorId="1" shapeId="0" xr:uid="{2D994D7E-F669-4C6A-BB1F-12C3483C1EB0}">
      <text>
        <r>
          <rPr>
            <sz val="11"/>
            <color theme="1"/>
            <rFont val="Calibri"/>
            <family val="2"/>
            <scheme val="minor"/>
          </rPr>
          <t>Seleccione un valor de la lista</t>
        </r>
      </text>
    </comment>
    <comment ref="F27" authorId="1" shapeId="0" xr:uid="{1ACBA604-27FA-4A32-BE69-67C8EFA83584}">
      <text>
        <r>
          <rPr>
            <sz val="11"/>
            <color theme="1"/>
            <rFont val="Calibri"/>
            <family val="2"/>
            <scheme val="minor"/>
          </rPr>
          <t>Introduzca el código SNIP</t>
        </r>
      </text>
    </comment>
    <comment ref="C28" authorId="1" shapeId="0" xr:uid="{88BFE2B4-E24E-4F91-AEAF-289040F3058E}">
      <text>
        <r>
          <rPr>
            <sz val="11"/>
            <color theme="1"/>
            <rFont val="Calibri"/>
            <family val="2"/>
            <scheme val="minor"/>
          </rPr>
          <t>Introduzca la fecha de inicio del proceso, en formato dd-mm-aaaa</t>
        </r>
      </text>
    </comment>
    <comment ref="F28" authorId="1" shapeId="0" xr:uid="{509665AD-C5EB-4F37-980F-8C1BA1042C3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xr:uid="{5F5D6463-04A3-4630-9D64-E68C3BEB6737}">
      <text/>
    </comment>
    <comment ref="C30" authorId="1" shapeId="0" xr:uid="{300C7C2B-DCBE-4CE7-8381-FEDC807C3BE7}">
      <text>
        <r>
          <rPr>
            <sz val="11"/>
            <color theme="1"/>
            <rFont val="Calibri"/>
            <family val="2"/>
            <scheme val="minor"/>
          </rPr>
          <t>Introduzca la fecha prevista de adjudicación, en formato dd-mm-aaaa</t>
        </r>
      </text>
    </comment>
    <comment ref="F30" authorId="1" shapeId="0" xr:uid="{25C1C892-D5E8-4F8D-97A9-55C88A5439A5}">
      <text/>
    </comment>
    <comment ref="F31" authorId="1" shapeId="0" xr:uid="{E658A6CC-6853-4A6F-913E-B2998F542A1F}">
      <text/>
    </comment>
    <comment ref="A33" authorId="1" shapeId="0" xr:uid="{1DB3C4A8-EBE5-467D-92D3-D00EC899664F}">
      <text>
        <r>
          <rPr>
            <sz val="11"/>
            <color theme="1"/>
            <rFont val="Calibri"/>
            <family val="2"/>
            <scheme val="minor"/>
          </rPr>
          <t>Introduzca un codigo UNSPSC</t>
        </r>
      </text>
    </comment>
    <comment ref="B33" authorId="1" shapeId="0" xr:uid="{2A87C2DD-3418-4529-80EA-EDA16E5AEB0A}">
      <text>
        <r>
          <rPr>
            <sz val="11"/>
            <color theme="1"/>
            <rFont val="Calibri"/>
            <family val="2"/>
            <scheme val="minor"/>
          </rPr>
          <t>Descripción calculada automáticamente a partir de código del artículo</t>
        </r>
      </text>
    </comment>
    <comment ref="C33" authorId="1" shapeId="0" xr:uid="{FBD5A879-4B2A-47E9-B1FC-A907DF772A11}">
      <text>
        <r>
          <rPr>
            <sz val="11"/>
            <color theme="1"/>
            <rFont val="Calibri"/>
            <family val="2"/>
            <scheme val="minor"/>
          </rPr>
          <t>Seleccione un valor de la lista</t>
        </r>
      </text>
    </comment>
    <comment ref="D33" authorId="1" shapeId="0" xr:uid="{29589DC5-742A-4594-81D8-85197D18D322}">
      <text>
        <r>
          <rPr>
            <sz val="11"/>
            <color theme="1"/>
            <rFont val="Calibri"/>
            <family val="2"/>
            <scheme val="minor"/>
          </rPr>
          <t>Introduzca un número con dos decimales como máximo. Debe ser igual o mayor a la "Cantidad Real Consumida"</t>
        </r>
      </text>
    </comment>
    <comment ref="E33" authorId="1" shapeId="0" xr:uid="{1115DB03-44E1-4FCF-AF9B-6247BB159149}">
      <text>
        <r>
          <rPr>
            <sz val="11"/>
            <color theme="1"/>
            <rFont val="Calibri"/>
            <family val="2"/>
            <scheme val="minor"/>
          </rPr>
          <t>Introduzca un número con dos decimales como máximo</t>
        </r>
      </text>
    </comment>
    <comment ref="F33" authorId="1" shapeId="0" xr:uid="{70C7B36E-8C52-41D3-8A23-7E6033C58607}">
      <text>
        <r>
          <rPr>
            <sz val="11"/>
            <color theme="1"/>
            <rFont val="Calibri"/>
            <family val="2"/>
            <scheme val="minor"/>
          </rPr>
          <t>Monto calculado automáticamente por el sistema</t>
        </r>
      </text>
    </comment>
    <comment ref="A38" authorId="1" shapeId="0" xr:uid="{22637DB2-5B8D-4835-9FC1-FB95487E26FD}">
      <text>
        <r>
          <rPr>
            <sz val="11"/>
            <color theme="1"/>
            <rFont val="Calibri"/>
            <family val="2"/>
            <scheme val="minor"/>
          </rPr>
          <t>Introducir un texto con el nombre o referencia de la contratación</t>
        </r>
      </text>
    </comment>
    <comment ref="B38" authorId="1" shapeId="0" xr:uid="{452F51F1-F020-42FE-9177-73FC26A83B8E}">
      <text>
        <r>
          <rPr>
            <sz val="11"/>
            <color theme="1"/>
            <rFont val="Calibri"/>
            <family val="2"/>
            <scheme val="minor"/>
          </rPr>
          <t>Introduzca un texto con la finalidad de la contratación</t>
        </r>
      </text>
    </comment>
    <comment ref="C38" authorId="1" shapeId="0" xr:uid="{5088F1D4-493D-441A-8C58-EAA3CB03498E}">
      <text>
        <r>
          <rPr>
            <sz val="11"/>
            <color theme="1"/>
            <rFont val="Calibri"/>
            <family val="2"/>
            <scheme val="minor"/>
          </rPr>
          <t>Seleccionar un valor del listado</t>
        </r>
      </text>
    </comment>
    <comment ref="D38" authorId="1" shapeId="0" xr:uid="{AD41D610-559F-4518-9197-A12288E46EF3}">
      <text>
        <r>
          <rPr>
            <sz val="11"/>
            <color theme="1"/>
            <rFont val="Calibri"/>
            <family val="2"/>
            <scheme val="minor"/>
          </rPr>
          <t>Seleccione el tipo de procedimiento</t>
        </r>
      </text>
    </comment>
    <comment ref="E38" authorId="1" shapeId="0" xr:uid="{81BC87BD-20B2-40EB-837D-FA216ADFA1D7}">
      <text>
        <r>
          <rPr>
            <sz val="11"/>
            <color theme="1"/>
            <rFont val="Calibri"/>
            <family val="2"/>
            <scheme val="minor"/>
          </rPr>
          <t>Seleccione un valor de la lista</t>
        </r>
      </text>
    </comment>
    <comment ref="F38" authorId="1" shapeId="0" xr:uid="{7EFF65AF-7475-47A0-A627-B8A5B683A2F1}">
      <text>
        <r>
          <rPr>
            <sz val="11"/>
            <color theme="1"/>
            <rFont val="Calibri"/>
            <family val="2"/>
            <scheme val="minor"/>
          </rPr>
          <t>Introduzca el código SNIP</t>
        </r>
      </text>
    </comment>
    <comment ref="C39" authorId="1" shapeId="0" xr:uid="{D222C1E6-F763-4FA9-9D5D-41CB7F3B1607}">
      <text>
        <r>
          <rPr>
            <sz val="11"/>
            <color theme="1"/>
            <rFont val="Calibri"/>
            <family val="2"/>
            <scheme val="minor"/>
          </rPr>
          <t>Introduzca la fecha de inicio del proceso, en formato dd-mm-aaaa</t>
        </r>
      </text>
    </comment>
    <comment ref="F39" authorId="1" shapeId="0" xr:uid="{0C2B2636-3189-4D94-A5C7-8CEAAD150AD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1" shapeId="0" xr:uid="{E035A072-46D8-4A3A-9963-9B596F82EC29}">
      <text/>
    </comment>
    <comment ref="C41" authorId="1" shapeId="0" xr:uid="{9DEE3EE5-ED04-4467-8B5F-642A42CA0B60}">
      <text>
        <r>
          <rPr>
            <sz val="11"/>
            <color theme="1"/>
            <rFont val="Calibri"/>
            <family val="2"/>
            <scheme val="minor"/>
          </rPr>
          <t>Introduzca la fecha prevista de adjudicación, en formato dd-mm-aaaa</t>
        </r>
      </text>
    </comment>
    <comment ref="F41" authorId="1" shapeId="0" xr:uid="{12A4504D-164C-4F19-A0C2-4FC029E967BD}">
      <text/>
    </comment>
    <comment ref="F42" authorId="1" shapeId="0" xr:uid="{577B283E-B852-420D-915B-9B22DF9F87B3}">
      <text/>
    </comment>
    <comment ref="A44" authorId="1" shapeId="0" xr:uid="{BB87C56A-137A-4FE5-BC1E-33D240CC2598}">
      <text>
        <r>
          <rPr>
            <sz val="11"/>
            <color theme="1"/>
            <rFont val="Calibri"/>
            <family val="2"/>
            <scheme val="minor"/>
          </rPr>
          <t>Introduzca un codigo UNSPSC</t>
        </r>
      </text>
    </comment>
    <comment ref="B44" authorId="1" shapeId="0" xr:uid="{B9341BFC-30CE-435A-9C2E-AACCA186CB73}">
      <text>
        <r>
          <rPr>
            <sz val="11"/>
            <color theme="1"/>
            <rFont val="Calibri"/>
            <family val="2"/>
            <scheme val="minor"/>
          </rPr>
          <t>Descripción calculada automáticamente a partir de código del artículo</t>
        </r>
      </text>
    </comment>
    <comment ref="C44" authorId="1" shapeId="0" xr:uid="{559EA743-93DB-4F0F-9004-1AFAF751652A}">
      <text>
        <r>
          <rPr>
            <sz val="11"/>
            <color theme="1"/>
            <rFont val="Calibri"/>
            <family val="2"/>
            <scheme val="minor"/>
          </rPr>
          <t>Seleccione un valor de la lista</t>
        </r>
      </text>
    </comment>
    <comment ref="D44" authorId="1" shapeId="0" xr:uid="{126476FA-7DF9-4959-8492-E23554122AA1}">
      <text>
        <r>
          <rPr>
            <sz val="11"/>
            <color theme="1"/>
            <rFont val="Calibri"/>
            <family val="2"/>
            <scheme val="minor"/>
          </rPr>
          <t>Introduzca un número con dos decimales como máximo. Debe ser igual o mayor a la "Cantidad Real Consumida"</t>
        </r>
      </text>
    </comment>
    <comment ref="E44" authorId="1" shapeId="0" xr:uid="{E6A47AC4-483E-43AF-BAAF-1B9B2767C2D7}">
      <text>
        <r>
          <rPr>
            <sz val="11"/>
            <color theme="1"/>
            <rFont val="Calibri"/>
            <family val="2"/>
            <scheme val="minor"/>
          </rPr>
          <t>Introduzca un número con dos decimales como máximo</t>
        </r>
      </text>
    </comment>
    <comment ref="F44" authorId="1" shapeId="0" xr:uid="{D3B9D60A-AA48-47B0-AD9B-C5CACD78262B}">
      <text>
        <r>
          <rPr>
            <sz val="11"/>
            <color theme="1"/>
            <rFont val="Calibri"/>
            <family val="2"/>
            <scheme val="minor"/>
          </rPr>
          <t>Monto calculado automáticamente por el sistema</t>
        </r>
      </text>
    </comment>
    <comment ref="A51" authorId="1" shapeId="0" xr:uid="{6F7F5B6C-A1B2-4B39-B0C9-909FD36F84A9}">
      <text>
        <r>
          <rPr>
            <sz val="11"/>
            <color theme="1"/>
            <rFont val="Calibri"/>
            <family val="2"/>
            <scheme val="minor"/>
          </rPr>
          <t>Introducir un texto con el nombre o referencia de la contratación</t>
        </r>
      </text>
    </comment>
    <comment ref="B51" authorId="1" shapeId="0" xr:uid="{61328474-9A47-489A-8C8B-DBB539C01426}">
      <text>
        <r>
          <rPr>
            <sz val="11"/>
            <color theme="1"/>
            <rFont val="Calibri"/>
            <family val="2"/>
            <scheme val="minor"/>
          </rPr>
          <t>Introduzca un texto con la finalidad de la contratación</t>
        </r>
      </text>
    </comment>
    <comment ref="C51" authorId="1" shapeId="0" xr:uid="{3732600C-5796-48B0-A251-7E77068EDE2B}">
      <text>
        <r>
          <rPr>
            <sz val="11"/>
            <color theme="1"/>
            <rFont val="Calibri"/>
            <family val="2"/>
            <scheme val="minor"/>
          </rPr>
          <t>Seleccionar un valor del listado</t>
        </r>
      </text>
    </comment>
    <comment ref="D51" authorId="1" shapeId="0" xr:uid="{366A303D-D9D9-484E-8A36-947E17BD5D90}">
      <text>
        <r>
          <rPr>
            <sz val="11"/>
            <color theme="1"/>
            <rFont val="Calibri"/>
            <family val="2"/>
            <scheme val="minor"/>
          </rPr>
          <t>Seleccione el tipo de procedimiento</t>
        </r>
      </text>
    </comment>
    <comment ref="E51" authorId="1" shapeId="0" xr:uid="{2C8903FA-4E4D-4EFD-BE9C-68B9234FBEE8}">
      <text>
        <r>
          <rPr>
            <sz val="11"/>
            <color theme="1"/>
            <rFont val="Calibri"/>
            <family val="2"/>
            <scheme val="minor"/>
          </rPr>
          <t>Seleccione un valor de la lista</t>
        </r>
      </text>
    </comment>
    <comment ref="F51" authorId="1" shapeId="0" xr:uid="{876B3B70-75FD-4A7C-8F6F-F22D830505DD}">
      <text>
        <r>
          <rPr>
            <sz val="11"/>
            <color theme="1"/>
            <rFont val="Calibri"/>
            <family val="2"/>
            <scheme val="minor"/>
          </rPr>
          <t>Introduzca el código SNIP</t>
        </r>
      </text>
    </comment>
    <comment ref="C52" authorId="1" shapeId="0" xr:uid="{97FA14F0-C024-4FEB-B0C3-1E5D99E2106B}">
      <text>
        <r>
          <rPr>
            <sz val="11"/>
            <color theme="1"/>
            <rFont val="Calibri"/>
            <family val="2"/>
            <scheme val="minor"/>
          </rPr>
          <t>Introduzca la fecha de inicio del proceso, en formato dd-mm-aaaa</t>
        </r>
      </text>
    </comment>
    <comment ref="F52" authorId="1" shapeId="0" xr:uid="{DECB7F9D-C69C-407E-B263-D50590671C9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 authorId="1" shapeId="0" xr:uid="{68E956C5-06DE-4080-BA39-23C0FD5CF0FC}">
      <text/>
    </comment>
    <comment ref="C54" authorId="1" shapeId="0" xr:uid="{122A88ED-7729-4A6B-BBA9-607D147817C7}">
      <text>
        <r>
          <rPr>
            <sz val="11"/>
            <color theme="1"/>
            <rFont val="Calibri"/>
            <family val="2"/>
            <scheme val="minor"/>
          </rPr>
          <t>Introduzca la fecha prevista de adjudicación, en formato dd-mm-aaaa</t>
        </r>
      </text>
    </comment>
    <comment ref="F54" authorId="1" shapeId="0" xr:uid="{DCF2ACAB-E8D2-492F-B0CF-1376F5562AB5}">
      <text/>
    </comment>
    <comment ref="F55" authorId="1" shapeId="0" xr:uid="{E897236E-9692-483B-9C13-5370945E606A}">
      <text/>
    </comment>
    <comment ref="A57" authorId="1" shapeId="0" xr:uid="{D23CE0FE-ED75-4407-90F1-548B9E5F1BFB}">
      <text>
        <r>
          <rPr>
            <sz val="11"/>
            <color theme="1"/>
            <rFont val="Calibri"/>
            <family val="2"/>
            <scheme val="minor"/>
          </rPr>
          <t>Introduzca un codigo UNSPSC</t>
        </r>
      </text>
    </comment>
    <comment ref="B57" authorId="1" shapeId="0" xr:uid="{2560D1C4-986F-4ABD-997B-308AA5CF7D73}">
      <text>
        <r>
          <rPr>
            <sz val="11"/>
            <color theme="1"/>
            <rFont val="Calibri"/>
            <family val="2"/>
            <scheme val="minor"/>
          </rPr>
          <t>Descripción calculada automáticamente a partir de código del artículo</t>
        </r>
      </text>
    </comment>
    <comment ref="C57" authorId="1" shapeId="0" xr:uid="{AA6F12C8-95C5-4DE1-BFD9-3E6F867C7772}">
      <text>
        <r>
          <rPr>
            <sz val="11"/>
            <color theme="1"/>
            <rFont val="Calibri"/>
            <family val="2"/>
            <scheme val="minor"/>
          </rPr>
          <t>Seleccione un valor de la lista</t>
        </r>
      </text>
    </comment>
    <comment ref="D57" authorId="1" shapeId="0" xr:uid="{198EF13B-B115-4F0B-8A8B-0FB96C690FBF}">
      <text>
        <r>
          <rPr>
            <sz val="11"/>
            <color theme="1"/>
            <rFont val="Calibri"/>
            <family val="2"/>
            <scheme val="minor"/>
          </rPr>
          <t>Introduzca un número con dos decimales como máximo. Debe ser igual o mayor a la "Cantidad Real Consumida"</t>
        </r>
      </text>
    </comment>
    <comment ref="E57" authorId="1" shapeId="0" xr:uid="{6BC79DAC-03F8-4D21-821A-2B83999D6F14}">
      <text>
        <r>
          <rPr>
            <sz val="11"/>
            <color theme="1"/>
            <rFont val="Calibri"/>
            <family val="2"/>
            <scheme val="minor"/>
          </rPr>
          <t>Introduzca un número con dos decimales como máximo</t>
        </r>
      </text>
    </comment>
    <comment ref="F57" authorId="1" shapeId="0" xr:uid="{39792AD3-F24A-4AEB-84C0-5860853E765C}">
      <text>
        <r>
          <rPr>
            <sz val="11"/>
            <color theme="1"/>
            <rFont val="Calibri"/>
            <family val="2"/>
            <scheme val="minor"/>
          </rPr>
          <t>Monto calculado automáticamente por el sistema</t>
        </r>
      </text>
    </comment>
    <comment ref="A62" authorId="1" shapeId="0" xr:uid="{3064972A-D28D-429C-9F19-11193D5ADCE2}">
      <text>
        <r>
          <rPr>
            <sz val="11"/>
            <color theme="1"/>
            <rFont val="Calibri"/>
            <family val="2"/>
            <scheme val="minor"/>
          </rPr>
          <t>Introducir un texto con el nombre o referencia de la contratación</t>
        </r>
      </text>
    </comment>
    <comment ref="B62" authorId="1" shapeId="0" xr:uid="{CFA2092D-DCAE-4D3F-9407-10ED02E2F973}">
      <text>
        <r>
          <rPr>
            <sz val="11"/>
            <color theme="1"/>
            <rFont val="Calibri"/>
            <family val="2"/>
            <scheme val="minor"/>
          </rPr>
          <t>Introduzca un texto con la finalidad de la contratación</t>
        </r>
      </text>
    </comment>
    <comment ref="C62" authorId="1" shapeId="0" xr:uid="{93495D09-ADDE-4624-849A-AF91A4C902F7}">
      <text>
        <r>
          <rPr>
            <sz val="11"/>
            <color theme="1"/>
            <rFont val="Calibri"/>
            <family val="2"/>
            <scheme val="minor"/>
          </rPr>
          <t>Seleccionar un valor del listado</t>
        </r>
      </text>
    </comment>
    <comment ref="D62" authorId="1" shapeId="0" xr:uid="{30E86847-BD1B-4C70-B008-4ACDAD72F98F}">
      <text>
        <r>
          <rPr>
            <sz val="11"/>
            <color theme="1"/>
            <rFont val="Calibri"/>
            <family val="2"/>
            <scheme val="minor"/>
          </rPr>
          <t>Seleccione el tipo de procedimiento</t>
        </r>
      </text>
    </comment>
    <comment ref="E62" authorId="1" shapeId="0" xr:uid="{3E996F80-0697-46A0-997B-FFA6BC5C41E8}">
      <text>
        <r>
          <rPr>
            <sz val="11"/>
            <color theme="1"/>
            <rFont val="Calibri"/>
            <family val="2"/>
            <scheme val="minor"/>
          </rPr>
          <t>Seleccione un valor de la lista</t>
        </r>
      </text>
    </comment>
    <comment ref="F62" authorId="1" shapeId="0" xr:uid="{7FF48BE2-BDBA-4533-9268-E275A9F45B90}">
      <text>
        <r>
          <rPr>
            <sz val="11"/>
            <color theme="1"/>
            <rFont val="Calibri"/>
            <family val="2"/>
            <scheme val="minor"/>
          </rPr>
          <t>Introduzca el código SNIP</t>
        </r>
      </text>
    </comment>
    <comment ref="C63" authorId="1" shapeId="0" xr:uid="{10EC9A7F-4B86-4EDA-BC69-E6A0341E067D}">
      <text>
        <r>
          <rPr>
            <sz val="11"/>
            <color theme="1"/>
            <rFont val="Calibri"/>
            <family val="2"/>
            <scheme val="minor"/>
          </rPr>
          <t>Introduzca la fecha de inicio del proceso, en formato dd-mm-aaaa</t>
        </r>
      </text>
    </comment>
    <comment ref="F63" authorId="1" shapeId="0" xr:uid="{3A9747D4-9C21-4C10-8894-79C985AC60F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 authorId="1" shapeId="0" xr:uid="{B8670268-E323-4D7E-9523-DD1031096341}">
      <text/>
    </comment>
    <comment ref="C65" authorId="1" shapeId="0" xr:uid="{3F48BFF7-DAB1-4306-BE81-118866E43A6C}">
      <text>
        <r>
          <rPr>
            <sz val="11"/>
            <color theme="1"/>
            <rFont val="Calibri"/>
            <family val="2"/>
            <scheme val="minor"/>
          </rPr>
          <t>Introduzca la fecha prevista de adjudicación, en formato dd-mm-aaaa</t>
        </r>
      </text>
    </comment>
    <comment ref="F65" authorId="1" shapeId="0" xr:uid="{2DA36D34-ACDD-43D2-9A22-4AE0927ECAF8}">
      <text/>
    </comment>
    <comment ref="F66" authorId="1" shapeId="0" xr:uid="{358675A3-F1E3-4D72-AEE5-D361D8797541}">
      <text/>
    </comment>
    <comment ref="A68" authorId="1" shapeId="0" xr:uid="{843924F4-C4B5-4E5A-BF6A-D686772FA29C}">
      <text>
        <r>
          <rPr>
            <sz val="11"/>
            <color theme="1"/>
            <rFont val="Calibri"/>
            <family val="2"/>
            <scheme val="minor"/>
          </rPr>
          <t>Introduzca un codigo UNSPSC</t>
        </r>
      </text>
    </comment>
    <comment ref="B68" authorId="1" shapeId="0" xr:uid="{BAE3481B-FDD1-40E5-8F63-76DAF97E3FAA}">
      <text>
        <r>
          <rPr>
            <sz val="11"/>
            <color theme="1"/>
            <rFont val="Calibri"/>
            <family val="2"/>
            <scheme val="minor"/>
          </rPr>
          <t>Descripción calculada automáticamente a partir de código del artículo</t>
        </r>
      </text>
    </comment>
    <comment ref="C68" authorId="1" shapeId="0" xr:uid="{7BD03288-E6AD-440F-ABB5-6F7B15D2B088}">
      <text>
        <r>
          <rPr>
            <sz val="11"/>
            <color theme="1"/>
            <rFont val="Calibri"/>
            <family val="2"/>
            <scheme val="minor"/>
          </rPr>
          <t>Seleccione un valor de la lista</t>
        </r>
      </text>
    </comment>
    <comment ref="D68" authorId="1" shapeId="0" xr:uid="{4AD9786F-EE65-4399-9C37-A142EAB3B0E4}">
      <text>
        <r>
          <rPr>
            <sz val="11"/>
            <color theme="1"/>
            <rFont val="Calibri"/>
            <family val="2"/>
            <scheme val="minor"/>
          </rPr>
          <t>Introduzca un número con dos decimales como máximo. Debe ser igual o mayor a la "Cantidad Real Consumida"</t>
        </r>
      </text>
    </comment>
    <comment ref="E68" authorId="1" shapeId="0" xr:uid="{F19C47E7-0C48-47CC-BA2B-F2C53FB0404B}">
      <text>
        <r>
          <rPr>
            <sz val="11"/>
            <color theme="1"/>
            <rFont val="Calibri"/>
            <family val="2"/>
            <scheme val="minor"/>
          </rPr>
          <t>Introduzca un número con dos decimales como máximo</t>
        </r>
      </text>
    </comment>
    <comment ref="F68" authorId="1" shapeId="0" xr:uid="{7CB0F280-CE44-41EA-BF24-C436D26F1337}">
      <text>
        <r>
          <rPr>
            <sz val="11"/>
            <color theme="1"/>
            <rFont val="Calibri"/>
            <family val="2"/>
            <scheme val="minor"/>
          </rPr>
          <t>Monto calculado automáticamente por el sistema</t>
        </r>
      </text>
    </comment>
    <comment ref="A73" authorId="1" shapeId="0" xr:uid="{DF641A9D-C618-4643-B0A7-AE4C889F51DF}">
      <text>
        <r>
          <rPr>
            <sz val="11"/>
            <color theme="1"/>
            <rFont val="Calibri"/>
            <family val="2"/>
            <scheme val="minor"/>
          </rPr>
          <t>Introducir un texto con el nombre o referencia de la contratación</t>
        </r>
      </text>
    </comment>
    <comment ref="B73" authorId="1" shapeId="0" xr:uid="{C4A864E4-8224-413F-B121-563D6838CA1E}">
      <text>
        <r>
          <rPr>
            <sz val="11"/>
            <color theme="1"/>
            <rFont val="Calibri"/>
            <family val="2"/>
            <scheme val="minor"/>
          </rPr>
          <t>Introduzca un texto con la finalidad de la contratación</t>
        </r>
      </text>
    </comment>
    <comment ref="C73" authorId="1" shapeId="0" xr:uid="{EBA328E9-6E2F-4C4C-835F-2AE71C286D28}">
      <text>
        <r>
          <rPr>
            <sz val="11"/>
            <color theme="1"/>
            <rFont val="Calibri"/>
            <family val="2"/>
            <scheme val="minor"/>
          </rPr>
          <t>Seleccionar un valor del listado</t>
        </r>
      </text>
    </comment>
    <comment ref="D73" authorId="1" shapeId="0" xr:uid="{041FE1E7-CC1E-42B6-962A-1DB93E108E60}">
      <text>
        <r>
          <rPr>
            <sz val="11"/>
            <color theme="1"/>
            <rFont val="Calibri"/>
            <family val="2"/>
            <scheme val="minor"/>
          </rPr>
          <t>Seleccione el tipo de procedimiento</t>
        </r>
      </text>
    </comment>
    <comment ref="E73" authorId="1" shapeId="0" xr:uid="{D9122A2D-A80C-47A4-99F6-062D66C309BD}">
      <text>
        <r>
          <rPr>
            <sz val="11"/>
            <color theme="1"/>
            <rFont val="Calibri"/>
            <family val="2"/>
            <scheme val="minor"/>
          </rPr>
          <t>Seleccione un valor de la lista</t>
        </r>
      </text>
    </comment>
    <comment ref="F73" authorId="1" shapeId="0" xr:uid="{85F21AAD-617D-4C6F-8A2B-ECD746FE8934}">
      <text>
        <r>
          <rPr>
            <sz val="11"/>
            <color theme="1"/>
            <rFont val="Calibri"/>
            <family val="2"/>
            <scheme val="minor"/>
          </rPr>
          <t>Introduzca el código SNIP</t>
        </r>
      </text>
    </comment>
    <comment ref="C74" authorId="1" shapeId="0" xr:uid="{57E7EAF3-7FA0-49FD-954F-475F33ED0867}">
      <text>
        <r>
          <rPr>
            <sz val="11"/>
            <color theme="1"/>
            <rFont val="Calibri"/>
            <family val="2"/>
            <scheme val="minor"/>
          </rPr>
          <t>Introduzca la fecha de inicio del proceso, en formato dd-mm-aaaa</t>
        </r>
      </text>
    </comment>
    <comment ref="F74" authorId="1" shapeId="0" xr:uid="{45B9091E-AE53-44BF-ACD9-42C3D9A5F59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 authorId="1" shapeId="0" xr:uid="{ACDC682F-A617-4958-95F3-4DC93257F75C}">
      <text/>
    </comment>
    <comment ref="C76" authorId="1" shapeId="0" xr:uid="{244F9C7D-4224-4871-BDCD-539C3E84D077}">
      <text>
        <r>
          <rPr>
            <sz val="11"/>
            <color theme="1"/>
            <rFont val="Calibri"/>
            <family val="2"/>
            <scheme val="minor"/>
          </rPr>
          <t>Introduzca la fecha prevista de adjudicación, en formato dd-mm-aaaa</t>
        </r>
      </text>
    </comment>
    <comment ref="F76" authorId="1" shapeId="0" xr:uid="{33351B55-08E8-4676-98CD-0C4206088D6C}">
      <text/>
    </comment>
    <comment ref="F77" authorId="1" shapeId="0" xr:uid="{9955A634-D2E8-4F8C-9E95-4C029A5C516D}">
      <text/>
    </comment>
    <comment ref="A79" authorId="1" shapeId="0" xr:uid="{DFCFAAC7-1E3E-43A4-A691-2F70C344E109}">
      <text>
        <r>
          <rPr>
            <sz val="11"/>
            <color theme="1"/>
            <rFont val="Calibri"/>
            <family val="2"/>
            <scheme val="minor"/>
          </rPr>
          <t>Introduzca un codigo UNSPSC</t>
        </r>
      </text>
    </comment>
    <comment ref="B79" authorId="1" shapeId="0" xr:uid="{78FFFEBF-83B4-439B-8BC4-9D1398F9F791}">
      <text>
        <r>
          <rPr>
            <sz val="11"/>
            <color theme="1"/>
            <rFont val="Calibri"/>
            <family val="2"/>
            <scheme val="minor"/>
          </rPr>
          <t>Descripción calculada automáticamente a partir de código del artículo</t>
        </r>
      </text>
    </comment>
    <comment ref="C79" authorId="1" shapeId="0" xr:uid="{5B24F09D-BD21-42A9-AD36-FFEF37ADDB7D}">
      <text>
        <r>
          <rPr>
            <sz val="11"/>
            <color theme="1"/>
            <rFont val="Calibri"/>
            <family val="2"/>
            <scheme val="minor"/>
          </rPr>
          <t>Seleccione un valor de la lista</t>
        </r>
      </text>
    </comment>
    <comment ref="D79" authorId="1" shapeId="0" xr:uid="{5AD465E9-E62F-4533-86B0-96D591015E37}">
      <text>
        <r>
          <rPr>
            <sz val="11"/>
            <color theme="1"/>
            <rFont val="Calibri"/>
            <family val="2"/>
            <scheme val="minor"/>
          </rPr>
          <t>Introduzca un número con dos decimales como máximo. Debe ser igual o mayor a la "Cantidad Real Consumida"</t>
        </r>
      </text>
    </comment>
    <comment ref="E79" authorId="1" shapeId="0" xr:uid="{BD2CC706-8603-4399-9E7A-DBA692BC79B4}">
      <text>
        <r>
          <rPr>
            <sz val="11"/>
            <color theme="1"/>
            <rFont val="Calibri"/>
            <family val="2"/>
            <scheme val="minor"/>
          </rPr>
          <t>Introduzca un número con dos decimales como máximo</t>
        </r>
      </text>
    </comment>
    <comment ref="F79" authorId="1" shapeId="0" xr:uid="{69E9E7A0-1666-4DCA-BCF7-44F6177FDD5E}">
      <text>
        <r>
          <rPr>
            <sz val="11"/>
            <color theme="1"/>
            <rFont val="Calibri"/>
            <family val="2"/>
            <scheme val="minor"/>
          </rPr>
          <t>Monto calculado automáticamente por el sistema</t>
        </r>
      </text>
    </comment>
    <comment ref="A84" authorId="1" shapeId="0" xr:uid="{82CBDF00-2F5F-4D66-A190-8510FD1F9CBF}">
      <text>
        <r>
          <rPr>
            <sz val="11"/>
            <color theme="1"/>
            <rFont val="Calibri"/>
            <family val="2"/>
            <scheme val="minor"/>
          </rPr>
          <t>Introducir un texto con el nombre o referencia de la contratación</t>
        </r>
      </text>
    </comment>
    <comment ref="B84" authorId="1" shapeId="0" xr:uid="{F65D0F29-6D0C-4DD4-AAF3-459ADFBA7A56}">
      <text>
        <r>
          <rPr>
            <sz val="11"/>
            <color theme="1"/>
            <rFont val="Calibri"/>
            <family val="2"/>
            <scheme val="minor"/>
          </rPr>
          <t>Introduzca un texto con la finalidad de la contratación</t>
        </r>
      </text>
    </comment>
    <comment ref="C84" authorId="1" shapeId="0" xr:uid="{1DCEDCE9-CFC4-43C7-812C-27776F0D4413}">
      <text>
        <r>
          <rPr>
            <sz val="11"/>
            <color theme="1"/>
            <rFont val="Calibri"/>
            <family val="2"/>
            <scheme val="minor"/>
          </rPr>
          <t>Seleccionar un valor del listado</t>
        </r>
      </text>
    </comment>
    <comment ref="D84" authorId="1" shapeId="0" xr:uid="{E19D6296-7B57-470B-878C-AF07B35E02B1}">
      <text>
        <r>
          <rPr>
            <sz val="11"/>
            <color theme="1"/>
            <rFont val="Calibri"/>
            <family val="2"/>
            <scheme val="minor"/>
          </rPr>
          <t>Seleccione el tipo de procedimiento</t>
        </r>
      </text>
    </comment>
    <comment ref="E84" authorId="1" shapeId="0" xr:uid="{C14DB1BF-BB50-4AF3-B2AF-0546E1E96E9C}">
      <text>
        <r>
          <rPr>
            <sz val="11"/>
            <color theme="1"/>
            <rFont val="Calibri"/>
            <family val="2"/>
            <scheme val="minor"/>
          </rPr>
          <t>Seleccione un valor de la lista</t>
        </r>
      </text>
    </comment>
    <comment ref="F84" authorId="1" shapeId="0" xr:uid="{C0148425-5D3A-45DD-ADD2-70B5A1024B78}">
      <text>
        <r>
          <rPr>
            <sz val="11"/>
            <color theme="1"/>
            <rFont val="Calibri"/>
            <family val="2"/>
            <scheme val="minor"/>
          </rPr>
          <t>Introduzca el código SNIP</t>
        </r>
      </text>
    </comment>
    <comment ref="C85" authorId="1" shapeId="0" xr:uid="{2BFCD95E-CA44-4BC4-AE20-A5D572906559}">
      <text>
        <r>
          <rPr>
            <sz val="11"/>
            <color theme="1"/>
            <rFont val="Calibri"/>
            <family val="2"/>
            <scheme val="minor"/>
          </rPr>
          <t>Introduzca la fecha de inicio del proceso, en formato dd-mm-aaaa</t>
        </r>
      </text>
    </comment>
    <comment ref="F85" authorId="1" shapeId="0" xr:uid="{1E12392F-90C2-4B06-8E8A-1200914C694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 authorId="1" shapeId="0" xr:uid="{B8F99A5F-850E-4409-AC37-E645FFED2D5E}">
      <text/>
    </comment>
    <comment ref="C87" authorId="1" shapeId="0" xr:uid="{18B495FE-B4BA-488A-B233-CF80420C7588}">
      <text>
        <r>
          <rPr>
            <sz val="11"/>
            <color theme="1"/>
            <rFont val="Calibri"/>
            <family val="2"/>
            <scheme val="minor"/>
          </rPr>
          <t>Introduzca la fecha prevista de adjudicación, en formato dd-mm-aaaa</t>
        </r>
      </text>
    </comment>
    <comment ref="F87" authorId="1" shapeId="0" xr:uid="{777DE1BB-B21F-4BE2-8CD1-612529C0C2C2}">
      <text/>
    </comment>
    <comment ref="F88" authorId="1" shapeId="0" xr:uid="{64F89EB5-C226-4E51-A1B2-61FC6EA7AF88}">
      <text/>
    </comment>
    <comment ref="A90" authorId="1" shapeId="0" xr:uid="{B3783971-B322-4708-ACC1-8048DE8333EB}">
      <text>
        <r>
          <rPr>
            <sz val="11"/>
            <color theme="1"/>
            <rFont val="Calibri"/>
            <family val="2"/>
            <scheme val="minor"/>
          </rPr>
          <t>Introduzca un codigo UNSPSC</t>
        </r>
      </text>
    </comment>
    <comment ref="B90" authorId="1" shapeId="0" xr:uid="{DADE068B-8EC7-40A5-86E3-9BA4E9204FD6}">
      <text>
        <r>
          <rPr>
            <sz val="11"/>
            <color theme="1"/>
            <rFont val="Calibri"/>
            <family val="2"/>
            <scheme val="minor"/>
          </rPr>
          <t>Descripción calculada automáticamente a partir de código del artículo</t>
        </r>
      </text>
    </comment>
    <comment ref="C90" authorId="1" shapeId="0" xr:uid="{CF64CD07-E410-4CED-B708-D7D27014E36A}">
      <text>
        <r>
          <rPr>
            <sz val="11"/>
            <color theme="1"/>
            <rFont val="Calibri"/>
            <family val="2"/>
            <scheme val="minor"/>
          </rPr>
          <t>Seleccione un valor de la lista</t>
        </r>
      </text>
    </comment>
    <comment ref="D90" authorId="1" shapeId="0" xr:uid="{9ED44EA9-944E-443E-B9A4-39A48B333111}">
      <text>
        <r>
          <rPr>
            <sz val="11"/>
            <color theme="1"/>
            <rFont val="Calibri"/>
            <family val="2"/>
            <scheme val="minor"/>
          </rPr>
          <t>Introduzca un número con dos decimales como máximo. Debe ser igual o mayor a la "Cantidad Real Consumida"</t>
        </r>
      </text>
    </comment>
    <comment ref="E90" authorId="1" shapeId="0" xr:uid="{4DE0A365-821D-40C7-8CE0-BCAC1A326551}">
      <text>
        <r>
          <rPr>
            <sz val="11"/>
            <color theme="1"/>
            <rFont val="Calibri"/>
            <family val="2"/>
            <scheme val="minor"/>
          </rPr>
          <t>Introduzca un número con dos decimales como máximo</t>
        </r>
      </text>
    </comment>
    <comment ref="F90" authorId="1" shapeId="0" xr:uid="{223373AC-05A8-4F93-8614-49733BFDA2D6}">
      <text>
        <r>
          <rPr>
            <sz val="11"/>
            <color theme="1"/>
            <rFont val="Calibri"/>
            <family val="2"/>
            <scheme val="minor"/>
          </rPr>
          <t>Monto calculado automáticamente por el sistema</t>
        </r>
      </text>
    </comment>
    <comment ref="A95" authorId="1" shapeId="0" xr:uid="{AD6A2000-B1ED-48F8-A1B9-847CB47ED293}">
      <text>
        <r>
          <rPr>
            <sz val="11"/>
            <color theme="1"/>
            <rFont val="Calibri"/>
            <family val="2"/>
            <scheme val="minor"/>
          </rPr>
          <t>Introducir un texto con el nombre o referencia de la contratación</t>
        </r>
      </text>
    </comment>
    <comment ref="B95" authorId="1" shapeId="0" xr:uid="{98E89DE7-F969-4FE2-B096-08C8243656A4}">
      <text>
        <r>
          <rPr>
            <sz val="11"/>
            <color theme="1"/>
            <rFont val="Calibri"/>
            <family val="2"/>
            <scheme val="minor"/>
          </rPr>
          <t>Introduzca un texto con la finalidad de la contratación</t>
        </r>
      </text>
    </comment>
    <comment ref="C95" authorId="1" shapeId="0" xr:uid="{C8F7C804-048E-4C82-A65E-C5007ED5B9DA}">
      <text>
        <r>
          <rPr>
            <sz val="11"/>
            <color theme="1"/>
            <rFont val="Calibri"/>
            <family val="2"/>
            <scheme val="minor"/>
          </rPr>
          <t>Seleccionar un valor del listado</t>
        </r>
      </text>
    </comment>
    <comment ref="D95" authorId="1" shapeId="0" xr:uid="{B0324535-FBE4-4425-A431-1175EC3586EA}">
      <text>
        <r>
          <rPr>
            <sz val="11"/>
            <color theme="1"/>
            <rFont val="Calibri"/>
            <family val="2"/>
            <scheme val="minor"/>
          </rPr>
          <t>Seleccione el tipo de procedimiento</t>
        </r>
      </text>
    </comment>
    <comment ref="E95" authorId="1" shapeId="0" xr:uid="{457921B8-D961-45B0-A605-53D817084C83}">
      <text>
        <r>
          <rPr>
            <sz val="11"/>
            <color theme="1"/>
            <rFont val="Calibri"/>
            <family val="2"/>
            <scheme val="minor"/>
          </rPr>
          <t>Seleccione un valor de la lista</t>
        </r>
      </text>
    </comment>
    <comment ref="F95" authorId="1" shapeId="0" xr:uid="{DE55CACD-5834-4E9A-A916-46D58445C656}">
      <text>
        <r>
          <rPr>
            <sz val="11"/>
            <color theme="1"/>
            <rFont val="Calibri"/>
            <family val="2"/>
            <scheme val="minor"/>
          </rPr>
          <t>Introduzca el código SNIP</t>
        </r>
      </text>
    </comment>
    <comment ref="C96" authorId="1" shapeId="0" xr:uid="{B6ACF97B-CA5C-470C-A707-C38EAB69DA55}">
      <text>
        <r>
          <rPr>
            <sz val="11"/>
            <color theme="1"/>
            <rFont val="Calibri"/>
            <family val="2"/>
            <scheme val="minor"/>
          </rPr>
          <t>Introduzca la fecha de inicio del proceso, en formato dd-mm-aaaa</t>
        </r>
      </text>
    </comment>
    <comment ref="F96" authorId="1" shapeId="0" xr:uid="{C4E59545-A71B-40B7-9443-0928513B9FA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 authorId="1" shapeId="0" xr:uid="{9F959D50-AE9A-40D7-A6E7-43A5F5FABDBB}">
      <text/>
    </comment>
    <comment ref="C98" authorId="1" shapeId="0" xr:uid="{485876DD-F7FD-4644-A149-AF3B48E22FD2}">
      <text>
        <r>
          <rPr>
            <sz val="11"/>
            <color theme="1"/>
            <rFont val="Calibri"/>
            <family val="2"/>
            <scheme val="minor"/>
          </rPr>
          <t>Introduzca la fecha prevista de adjudicación, en formato dd-mm-aaaa</t>
        </r>
      </text>
    </comment>
    <comment ref="F98" authorId="1" shapeId="0" xr:uid="{3430D22F-BB0C-485C-9416-138F9E2D21D9}">
      <text/>
    </comment>
    <comment ref="F99" authorId="1" shapeId="0" xr:uid="{77E0ABDE-9816-4EE5-98AD-702AF572CCEA}">
      <text/>
    </comment>
    <comment ref="A101" authorId="1" shapeId="0" xr:uid="{F5009526-889B-4D4B-A8CD-81DC721E8789}">
      <text>
        <r>
          <rPr>
            <sz val="11"/>
            <color theme="1"/>
            <rFont val="Calibri"/>
            <family val="2"/>
            <scheme val="minor"/>
          </rPr>
          <t>Introduzca un codigo UNSPSC</t>
        </r>
      </text>
    </comment>
    <comment ref="B101" authorId="1" shapeId="0" xr:uid="{3FC9040A-4205-4649-965B-C2210D380EF7}">
      <text>
        <r>
          <rPr>
            <sz val="11"/>
            <color theme="1"/>
            <rFont val="Calibri"/>
            <family val="2"/>
            <scheme val="minor"/>
          </rPr>
          <t>Descripción calculada automáticamente a partir de código del artículo</t>
        </r>
      </text>
    </comment>
    <comment ref="C101" authorId="1" shapeId="0" xr:uid="{3D4EA4BE-3E5E-4D6E-BE4E-320DC2098177}">
      <text>
        <r>
          <rPr>
            <sz val="11"/>
            <color theme="1"/>
            <rFont val="Calibri"/>
            <family val="2"/>
            <scheme val="minor"/>
          </rPr>
          <t>Seleccione un valor de la lista</t>
        </r>
      </text>
    </comment>
    <comment ref="D101" authorId="1" shapeId="0" xr:uid="{3E4B49BD-ABFE-4E35-B594-588006B3E97C}">
      <text>
        <r>
          <rPr>
            <sz val="11"/>
            <color theme="1"/>
            <rFont val="Calibri"/>
            <family val="2"/>
            <scheme val="minor"/>
          </rPr>
          <t>Introduzca un número con dos decimales como máximo. Debe ser igual o mayor a la "Cantidad Real Consumida"</t>
        </r>
      </text>
    </comment>
    <comment ref="E101" authorId="1" shapeId="0" xr:uid="{3F1DB2C1-979A-4F53-9E71-CBD224D4DC65}">
      <text>
        <r>
          <rPr>
            <sz val="11"/>
            <color theme="1"/>
            <rFont val="Calibri"/>
            <family val="2"/>
            <scheme val="minor"/>
          </rPr>
          <t>Introduzca un número con dos decimales como máximo</t>
        </r>
      </text>
    </comment>
    <comment ref="F101" authorId="1" shapeId="0" xr:uid="{E28102D7-D807-4600-9C4B-42D217445AD1}">
      <text>
        <r>
          <rPr>
            <sz val="11"/>
            <color theme="1"/>
            <rFont val="Calibri"/>
            <family val="2"/>
            <scheme val="minor"/>
          </rPr>
          <t>Monto calculado automáticamente por el sistema</t>
        </r>
      </text>
    </comment>
    <comment ref="A106" authorId="1" shapeId="0" xr:uid="{29498896-EDD3-4A77-8270-7F77BC9B25D1}">
      <text>
        <r>
          <rPr>
            <sz val="11"/>
            <color theme="1"/>
            <rFont val="Calibri"/>
            <family val="2"/>
            <scheme val="minor"/>
          </rPr>
          <t>Introducir un texto con el nombre o referencia de la contratación</t>
        </r>
      </text>
    </comment>
    <comment ref="B106" authorId="1" shapeId="0" xr:uid="{2D9DB991-C7C8-40F1-A0A1-3B0998B202B6}">
      <text>
        <r>
          <rPr>
            <sz val="11"/>
            <color theme="1"/>
            <rFont val="Calibri"/>
            <family val="2"/>
            <scheme val="minor"/>
          </rPr>
          <t>Introduzca un texto con la finalidad de la contratación</t>
        </r>
      </text>
    </comment>
    <comment ref="C106" authorId="1" shapeId="0" xr:uid="{D2D81D65-EB3B-46C0-840A-765F5FD1EE5E}">
      <text>
        <r>
          <rPr>
            <sz val="11"/>
            <color theme="1"/>
            <rFont val="Calibri"/>
            <family val="2"/>
            <scheme val="minor"/>
          </rPr>
          <t>Seleccionar un valor del listado</t>
        </r>
      </text>
    </comment>
    <comment ref="D106" authorId="1" shapeId="0" xr:uid="{3640D14E-DED4-4B9D-BD41-D0853E8879E8}">
      <text>
        <r>
          <rPr>
            <sz val="11"/>
            <color theme="1"/>
            <rFont val="Calibri"/>
            <family val="2"/>
            <scheme val="minor"/>
          </rPr>
          <t>Seleccione el tipo de procedimiento</t>
        </r>
      </text>
    </comment>
    <comment ref="E106" authorId="1" shapeId="0" xr:uid="{62AF41AC-7665-4399-AFAB-B2FAD3DA8046}">
      <text>
        <r>
          <rPr>
            <sz val="11"/>
            <color theme="1"/>
            <rFont val="Calibri"/>
            <family val="2"/>
            <scheme val="minor"/>
          </rPr>
          <t>Seleccione un valor de la lista</t>
        </r>
      </text>
    </comment>
    <comment ref="F106" authorId="1" shapeId="0" xr:uid="{93CEADFD-E6A1-4834-865A-079C16E8E965}">
      <text>
        <r>
          <rPr>
            <sz val="11"/>
            <color theme="1"/>
            <rFont val="Calibri"/>
            <family val="2"/>
            <scheme val="minor"/>
          </rPr>
          <t>Introduzca el código SNIP</t>
        </r>
      </text>
    </comment>
    <comment ref="C107" authorId="1" shapeId="0" xr:uid="{45C716EA-C8A7-4AB1-B6F1-A59B87A57010}">
      <text>
        <r>
          <rPr>
            <sz val="11"/>
            <color theme="1"/>
            <rFont val="Calibri"/>
            <family val="2"/>
            <scheme val="minor"/>
          </rPr>
          <t>Introduzca la fecha de inicio del proceso, en formato dd-mm-aaaa</t>
        </r>
      </text>
    </comment>
    <comment ref="F107" authorId="1" shapeId="0" xr:uid="{3190E86F-BF8C-4E1D-8D0F-45833A685C8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 authorId="1" shapeId="0" xr:uid="{8D56D875-611D-45F4-8ECE-E1520C9B52E4}">
      <text/>
    </comment>
    <comment ref="C109" authorId="1" shapeId="0" xr:uid="{EE8BCEFC-376E-45EB-9854-EB86D45138D5}">
      <text>
        <r>
          <rPr>
            <sz val="11"/>
            <color theme="1"/>
            <rFont val="Calibri"/>
            <family val="2"/>
            <scheme val="minor"/>
          </rPr>
          <t>Introduzca la fecha prevista de adjudicación, en formato dd-mm-aaaa</t>
        </r>
      </text>
    </comment>
    <comment ref="F109" authorId="1" shapeId="0" xr:uid="{0A7F1596-3716-4A0E-A9A5-7B1C20A84079}">
      <text/>
    </comment>
    <comment ref="F110" authorId="1" shapeId="0" xr:uid="{783289FB-F4E7-4680-905C-D0D3B9C3FA20}">
      <text/>
    </comment>
    <comment ref="A112" authorId="1" shapeId="0" xr:uid="{D0A2C6AB-9324-4BF5-A450-2672CD8ABE73}">
      <text>
        <r>
          <rPr>
            <sz val="11"/>
            <color theme="1"/>
            <rFont val="Calibri"/>
            <family val="2"/>
            <scheme val="minor"/>
          </rPr>
          <t>Introduzca un codigo UNSPSC</t>
        </r>
      </text>
    </comment>
    <comment ref="B112" authorId="1" shapeId="0" xr:uid="{93428292-5595-448B-A286-3D1E3C0BDA3B}">
      <text>
        <r>
          <rPr>
            <sz val="11"/>
            <color theme="1"/>
            <rFont val="Calibri"/>
            <family val="2"/>
            <scheme val="minor"/>
          </rPr>
          <t>Descripción calculada automáticamente a partir de código del artículo</t>
        </r>
      </text>
    </comment>
    <comment ref="C112" authorId="1" shapeId="0" xr:uid="{CCD9EE6F-896C-4007-A37C-C98F15598461}">
      <text>
        <r>
          <rPr>
            <sz val="11"/>
            <color theme="1"/>
            <rFont val="Calibri"/>
            <family val="2"/>
            <scheme val="minor"/>
          </rPr>
          <t>Seleccione un valor de la lista</t>
        </r>
      </text>
    </comment>
    <comment ref="D112" authorId="1" shapeId="0" xr:uid="{A22531D4-52AD-4001-BC01-DBBA9C3D683C}">
      <text>
        <r>
          <rPr>
            <sz val="11"/>
            <color theme="1"/>
            <rFont val="Calibri"/>
            <family val="2"/>
            <scheme val="minor"/>
          </rPr>
          <t>Introduzca un número con dos decimales como máximo. Debe ser igual o mayor a la "Cantidad Real Consumida"</t>
        </r>
      </text>
    </comment>
    <comment ref="E112" authorId="1" shapeId="0" xr:uid="{ADA373B7-FC2F-4C5A-A36E-764319429D87}">
      <text>
        <r>
          <rPr>
            <sz val="11"/>
            <color theme="1"/>
            <rFont val="Calibri"/>
            <family val="2"/>
            <scheme val="minor"/>
          </rPr>
          <t>Introduzca un número con dos decimales como máximo</t>
        </r>
      </text>
    </comment>
    <comment ref="F112" authorId="1" shapeId="0" xr:uid="{88CCC91F-0E28-403D-96BF-FDF643258007}">
      <text>
        <r>
          <rPr>
            <sz val="11"/>
            <color theme="1"/>
            <rFont val="Calibri"/>
            <family val="2"/>
            <scheme val="minor"/>
          </rPr>
          <t>Monto calculado automáticamente por el sistema</t>
        </r>
      </text>
    </comment>
    <comment ref="A117" authorId="1" shapeId="0" xr:uid="{5005F5DD-8031-4F0A-8ECB-F247E9DD9400}">
      <text>
        <r>
          <rPr>
            <sz val="11"/>
            <color theme="1"/>
            <rFont val="Calibri"/>
            <family val="2"/>
            <scheme val="minor"/>
          </rPr>
          <t>Introducir un texto con el nombre o referencia de la contratación</t>
        </r>
      </text>
    </comment>
    <comment ref="B117" authorId="1" shapeId="0" xr:uid="{6CFA4FA5-C7BA-4A38-B6BE-64C4D5C907B0}">
      <text>
        <r>
          <rPr>
            <sz val="11"/>
            <color theme="1"/>
            <rFont val="Calibri"/>
            <family val="2"/>
            <scheme val="minor"/>
          </rPr>
          <t>Introduzca un texto con la finalidad de la contratación</t>
        </r>
      </text>
    </comment>
    <comment ref="C117" authorId="1" shapeId="0" xr:uid="{632FCD17-E75E-40E3-AE6A-AE662BEF74C8}">
      <text>
        <r>
          <rPr>
            <sz val="11"/>
            <color theme="1"/>
            <rFont val="Calibri"/>
            <family val="2"/>
            <scheme val="minor"/>
          </rPr>
          <t>Seleccionar un valor del listado</t>
        </r>
      </text>
    </comment>
    <comment ref="D117" authorId="1" shapeId="0" xr:uid="{B8FD0505-07C3-44BD-A6EE-5C9A0CC5AD20}">
      <text>
        <r>
          <rPr>
            <sz val="11"/>
            <color theme="1"/>
            <rFont val="Calibri"/>
            <family val="2"/>
            <scheme val="minor"/>
          </rPr>
          <t>Seleccione el tipo de procedimiento</t>
        </r>
      </text>
    </comment>
    <comment ref="E117" authorId="1" shapeId="0" xr:uid="{7D8E1084-F6CF-4817-97D5-A0BD4A1FF002}">
      <text>
        <r>
          <rPr>
            <sz val="11"/>
            <color theme="1"/>
            <rFont val="Calibri"/>
            <family val="2"/>
            <scheme val="minor"/>
          </rPr>
          <t>Seleccione un valor de la lista</t>
        </r>
      </text>
    </comment>
    <comment ref="F117" authorId="1" shapeId="0" xr:uid="{19DEA1D4-3C28-4E3C-BBDF-5C5959501400}">
      <text>
        <r>
          <rPr>
            <sz val="11"/>
            <color theme="1"/>
            <rFont val="Calibri"/>
            <family val="2"/>
            <scheme val="minor"/>
          </rPr>
          <t>Introduzca el código SNIP</t>
        </r>
      </text>
    </comment>
    <comment ref="C118" authorId="1" shapeId="0" xr:uid="{1B5BE83C-108E-44EE-9937-78071398495A}">
      <text>
        <r>
          <rPr>
            <sz val="11"/>
            <color theme="1"/>
            <rFont val="Calibri"/>
            <family val="2"/>
            <scheme val="minor"/>
          </rPr>
          <t>Introduzca la fecha de inicio del proceso, en formato dd-mm-aaaa</t>
        </r>
      </text>
    </comment>
    <comment ref="F118" authorId="1" shapeId="0" xr:uid="{A0549409-2A51-4C10-A2D7-D5B402A3AE2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9" authorId="1" shapeId="0" xr:uid="{BECB4F77-BA2C-475D-88CD-343108042EE0}">
      <text/>
    </comment>
    <comment ref="C120" authorId="1" shapeId="0" xr:uid="{88B34F2A-5382-48C9-B59D-F92D9095443D}">
      <text>
        <r>
          <rPr>
            <sz val="11"/>
            <color theme="1"/>
            <rFont val="Calibri"/>
            <family val="2"/>
            <scheme val="minor"/>
          </rPr>
          <t>Introduzca la fecha prevista de adjudicación, en formato dd-mm-aaaa</t>
        </r>
      </text>
    </comment>
    <comment ref="F120" authorId="1" shapeId="0" xr:uid="{8AABDDDE-6248-4EED-AF7C-DEE24FBED38F}">
      <text/>
    </comment>
    <comment ref="F121" authorId="1" shapeId="0" xr:uid="{C484ACCA-9634-4B81-A0F5-1EC274E1A2E7}">
      <text/>
    </comment>
    <comment ref="A123" authorId="1" shapeId="0" xr:uid="{C4B7947D-5D8E-4CE4-ABCD-D2D2D9E93227}">
      <text>
        <r>
          <rPr>
            <sz val="11"/>
            <color theme="1"/>
            <rFont val="Calibri"/>
            <family val="2"/>
            <scheme val="minor"/>
          </rPr>
          <t>Introduzca un codigo UNSPSC</t>
        </r>
      </text>
    </comment>
    <comment ref="B123" authorId="1" shapeId="0" xr:uid="{E8DFC8D3-88ED-4548-869B-A6CF7534896A}">
      <text>
        <r>
          <rPr>
            <sz val="11"/>
            <color theme="1"/>
            <rFont val="Calibri"/>
            <family val="2"/>
            <scheme val="minor"/>
          </rPr>
          <t>Descripción calculada automáticamente a partir de código del artículo</t>
        </r>
      </text>
    </comment>
    <comment ref="C123" authorId="1" shapeId="0" xr:uid="{694A3523-F4C7-4467-9A47-D522AA4685CC}">
      <text>
        <r>
          <rPr>
            <sz val="11"/>
            <color theme="1"/>
            <rFont val="Calibri"/>
            <family val="2"/>
            <scheme val="minor"/>
          </rPr>
          <t>Seleccione un valor de la lista</t>
        </r>
      </text>
    </comment>
    <comment ref="D123" authorId="1" shapeId="0" xr:uid="{AE708081-B438-4C44-A004-44A758301A38}">
      <text>
        <r>
          <rPr>
            <sz val="11"/>
            <color theme="1"/>
            <rFont val="Calibri"/>
            <family val="2"/>
            <scheme val="minor"/>
          </rPr>
          <t>Introduzca un número con dos decimales como máximo. Debe ser igual o mayor a la "Cantidad Real Consumida"</t>
        </r>
      </text>
    </comment>
    <comment ref="E123" authorId="1" shapeId="0" xr:uid="{47995F96-7CFD-4550-B845-FC77C8568C2B}">
      <text>
        <r>
          <rPr>
            <sz val="11"/>
            <color theme="1"/>
            <rFont val="Calibri"/>
            <family val="2"/>
            <scheme val="minor"/>
          </rPr>
          <t>Introduzca un número con dos decimales como máximo</t>
        </r>
      </text>
    </comment>
    <comment ref="F123" authorId="1" shapeId="0" xr:uid="{62E48098-6D86-4BE4-A90C-3EA6DC7B664B}">
      <text>
        <r>
          <rPr>
            <sz val="11"/>
            <color theme="1"/>
            <rFont val="Calibri"/>
            <family val="2"/>
            <scheme val="minor"/>
          </rPr>
          <t>Monto calculado automáticamente por el sistema</t>
        </r>
      </text>
    </comment>
    <comment ref="A128" authorId="1" shapeId="0" xr:uid="{C82EF29B-4C24-444E-A454-E65F55083F8E}">
      <text>
        <r>
          <rPr>
            <sz val="11"/>
            <color theme="1"/>
            <rFont val="Calibri"/>
            <family val="2"/>
            <scheme val="minor"/>
          </rPr>
          <t>Introducir un texto con el nombre o referencia de la contratación</t>
        </r>
      </text>
    </comment>
    <comment ref="B128" authorId="1" shapeId="0" xr:uid="{B2EECF29-64B3-4B1C-8B5C-0EDE07869C5A}">
      <text>
        <r>
          <rPr>
            <sz val="11"/>
            <color theme="1"/>
            <rFont val="Calibri"/>
            <family val="2"/>
            <scheme val="minor"/>
          </rPr>
          <t>Introduzca un texto con la finalidad de la contratación</t>
        </r>
      </text>
    </comment>
    <comment ref="C128" authorId="1" shapeId="0" xr:uid="{FE40C108-E86E-46C7-8C81-2A7F442C27AE}">
      <text>
        <r>
          <rPr>
            <sz val="11"/>
            <color theme="1"/>
            <rFont val="Calibri"/>
            <family val="2"/>
            <scheme val="minor"/>
          </rPr>
          <t>Seleccionar un valor del listado</t>
        </r>
      </text>
    </comment>
    <comment ref="D128" authorId="1" shapeId="0" xr:uid="{2BD2A75C-DF88-4F28-BA43-121B2259D214}">
      <text>
        <r>
          <rPr>
            <sz val="11"/>
            <color theme="1"/>
            <rFont val="Calibri"/>
            <family val="2"/>
            <scheme val="minor"/>
          </rPr>
          <t>Seleccione el tipo de procedimiento</t>
        </r>
      </text>
    </comment>
    <comment ref="E128" authorId="1" shapeId="0" xr:uid="{A68F5EED-7D68-4D13-AE34-2FF88CE0D3C7}">
      <text>
        <r>
          <rPr>
            <sz val="11"/>
            <color theme="1"/>
            <rFont val="Calibri"/>
            <family val="2"/>
            <scheme val="minor"/>
          </rPr>
          <t>Seleccione un valor de la lista</t>
        </r>
      </text>
    </comment>
    <comment ref="F128" authorId="1" shapeId="0" xr:uid="{A1F706F8-D780-49D9-B08D-7C5B3EEE40AB}">
      <text>
        <r>
          <rPr>
            <sz val="11"/>
            <color theme="1"/>
            <rFont val="Calibri"/>
            <family val="2"/>
            <scheme val="minor"/>
          </rPr>
          <t>Introduzca el código SNIP</t>
        </r>
      </text>
    </comment>
    <comment ref="C129" authorId="1" shapeId="0" xr:uid="{62F0BEC0-17AF-4CBC-AEE8-001F674E4863}">
      <text>
        <r>
          <rPr>
            <sz val="11"/>
            <color theme="1"/>
            <rFont val="Calibri"/>
            <family val="2"/>
            <scheme val="minor"/>
          </rPr>
          <t>Introduzca la fecha de inicio del proceso, en formato dd-mm-aaaa</t>
        </r>
      </text>
    </comment>
    <comment ref="F129" authorId="1" shapeId="0" xr:uid="{AD90AF37-88AB-4CDB-9A68-EFEF5A16945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0" authorId="1" shapeId="0" xr:uid="{03CB451E-2809-47E5-A64E-928453AD2293}">
      <text/>
    </comment>
    <comment ref="C131" authorId="1" shapeId="0" xr:uid="{1F0E1226-AF13-4779-9244-F90B9B28C864}">
      <text>
        <r>
          <rPr>
            <sz val="11"/>
            <color theme="1"/>
            <rFont val="Calibri"/>
            <family val="2"/>
            <scheme val="minor"/>
          </rPr>
          <t>Introduzca la fecha prevista de adjudicación, en formato dd-mm-aaaa</t>
        </r>
      </text>
    </comment>
    <comment ref="F131" authorId="1" shapeId="0" xr:uid="{F2408DDF-A5E0-400F-B29C-5E18D48A8B1E}">
      <text/>
    </comment>
    <comment ref="F132" authorId="1" shapeId="0" xr:uid="{F8906EA3-FB85-476A-B08F-58451A9FF9FD}">
      <text/>
    </comment>
    <comment ref="A134" authorId="1" shapeId="0" xr:uid="{8F371413-E8D9-44B4-935B-AE8868B58128}">
      <text>
        <r>
          <rPr>
            <sz val="11"/>
            <color theme="1"/>
            <rFont val="Calibri"/>
            <family val="2"/>
            <scheme val="minor"/>
          </rPr>
          <t>Introduzca un codigo UNSPSC</t>
        </r>
      </text>
    </comment>
    <comment ref="B134" authorId="1" shapeId="0" xr:uid="{9983614F-4D7D-4AAF-B250-9D971990B46B}">
      <text>
        <r>
          <rPr>
            <sz val="11"/>
            <color theme="1"/>
            <rFont val="Calibri"/>
            <family val="2"/>
            <scheme val="minor"/>
          </rPr>
          <t>Descripción calculada automáticamente a partir de código del artículo</t>
        </r>
      </text>
    </comment>
    <comment ref="C134" authorId="1" shapeId="0" xr:uid="{C6BCDD2A-7093-45BC-93CD-5F2B480560A4}">
      <text>
        <r>
          <rPr>
            <sz val="11"/>
            <color theme="1"/>
            <rFont val="Calibri"/>
            <family val="2"/>
            <scheme val="minor"/>
          </rPr>
          <t>Seleccione un valor de la lista</t>
        </r>
      </text>
    </comment>
    <comment ref="D134" authorId="1" shapeId="0" xr:uid="{99D32CFC-4E51-40D2-8955-76BBCEE5CF18}">
      <text>
        <r>
          <rPr>
            <sz val="11"/>
            <color theme="1"/>
            <rFont val="Calibri"/>
            <family val="2"/>
            <scheme val="minor"/>
          </rPr>
          <t>Introduzca un número con dos decimales como máximo. Debe ser igual o mayor a la "Cantidad Real Consumida"</t>
        </r>
      </text>
    </comment>
    <comment ref="E134" authorId="1" shapeId="0" xr:uid="{98AAA612-19F5-47AA-A1C1-C87BD1AF37FF}">
      <text>
        <r>
          <rPr>
            <sz val="11"/>
            <color theme="1"/>
            <rFont val="Calibri"/>
            <family val="2"/>
            <scheme val="minor"/>
          </rPr>
          <t>Introduzca un número con dos decimales como máximo</t>
        </r>
      </text>
    </comment>
    <comment ref="F134" authorId="1" shapeId="0" xr:uid="{2699F35B-C70C-44BF-8218-4B498CB021F0}">
      <text>
        <r>
          <rPr>
            <sz val="11"/>
            <color theme="1"/>
            <rFont val="Calibri"/>
            <family val="2"/>
            <scheme val="minor"/>
          </rPr>
          <t>Monto calculado automáticamente por el sistema</t>
        </r>
      </text>
    </comment>
    <comment ref="A139" authorId="1" shapeId="0" xr:uid="{398F51B6-4FB6-46F5-BE71-898656FC1CB2}">
      <text>
        <r>
          <rPr>
            <sz val="11"/>
            <color theme="1"/>
            <rFont val="Calibri"/>
            <family val="2"/>
            <scheme val="minor"/>
          </rPr>
          <t>Introducir un texto con el nombre o referencia de la contratación</t>
        </r>
      </text>
    </comment>
    <comment ref="B139" authorId="1" shapeId="0" xr:uid="{A9E28BEC-7643-498F-B642-B7C338CE6498}">
      <text>
        <r>
          <rPr>
            <sz val="11"/>
            <color theme="1"/>
            <rFont val="Calibri"/>
            <family val="2"/>
            <scheme val="minor"/>
          </rPr>
          <t>Introduzca un texto con la finalidad de la contratación</t>
        </r>
      </text>
    </comment>
    <comment ref="C139" authorId="1" shapeId="0" xr:uid="{C2B36633-FF05-467F-B59D-9DCAE6541332}">
      <text>
        <r>
          <rPr>
            <sz val="11"/>
            <color theme="1"/>
            <rFont val="Calibri"/>
            <family val="2"/>
            <scheme val="minor"/>
          </rPr>
          <t>Seleccionar un valor del listado</t>
        </r>
      </text>
    </comment>
    <comment ref="D139" authorId="1" shapeId="0" xr:uid="{3D5DEA19-0DEA-4FA9-9B60-33D2B47A10FC}">
      <text>
        <r>
          <rPr>
            <sz val="11"/>
            <color theme="1"/>
            <rFont val="Calibri"/>
            <family val="2"/>
            <scheme val="minor"/>
          </rPr>
          <t>Seleccione el tipo de procedimiento</t>
        </r>
      </text>
    </comment>
    <comment ref="E139" authorId="1" shapeId="0" xr:uid="{E9AF1CC5-D801-4686-AA67-FCF8408CA0D1}">
      <text>
        <r>
          <rPr>
            <sz val="11"/>
            <color theme="1"/>
            <rFont val="Calibri"/>
            <family val="2"/>
            <scheme val="minor"/>
          </rPr>
          <t>Seleccione un valor de la lista</t>
        </r>
      </text>
    </comment>
    <comment ref="F139" authorId="1" shapeId="0" xr:uid="{B055A4C5-F0BB-4AF3-ACDD-B5D972EC659F}">
      <text>
        <r>
          <rPr>
            <sz val="11"/>
            <color theme="1"/>
            <rFont val="Calibri"/>
            <family val="2"/>
            <scheme val="minor"/>
          </rPr>
          <t>Introduzca el código SNIP</t>
        </r>
      </text>
    </comment>
    <comment ref="C140" authorId="1" shapeId="0" xr:uid="{C0FB6CC5-3ABD-4234-8532-BFCC8CC2F5A7}">
      <text>
        <r>
          <rPr>
            <sz val="11"/>
            <color theme="1"/>
            <rFont val="Calibri"/>
            <family val="2"/>
            <scheme val="minor"/>
          </rPr>
          <t>Introduzca la fecha de inicio del proceso, en formato dd-mm-aaaa</t>
        </r>
      </text>
    </comment>
    <comment ref="F140" authorId="1" shapeId="0" xr:uid="{05CD0CD4-0F41-4803-9A61-E919CCDC549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1" authorId="1" shapeId="0" xr:uid="{05813628-C01B-4A76-B5EE-07D5FC4603B5}">
      <text/>
    </comment>
    <comment ref="C142" authorId="1" shapeId="0" xr:uid="{F236EC72-55FA-406F-9907-C6E4917FA23A}">
      <text>
        <r>
          <rPr>
            <sz val="11"/>
            <color theme="1"/>
            <rFont val="Calibri"/>
            <family val="2"/>
            <scheme val="minor"/>
          </rPr>
          <t>Introduzca la fecha prevista de adjudicación, en formato dd-mm-aaaa</t>
        </r>
      </text>
    </comment>
    <comment ref="F142" authorId="1" shapeId="0" xr:uid="{9CD84E40-3A17-4884-8277-53935D987233}">
      <text/>
    </comment>
    <comment ref="F143" authorId="1" shapeId="0" xr:uid="{BD738B82-4A90-4941-B754-488CB89C3D74}">
      <text/>
    </comment>
    <comment ref="A145" authorId="1" shapeId="0" xr:uid="{277A0BC2-5646-4D65-99CB-48D7095B0740}">
      <text>
        <r>
          <rPr>
            <sz val="11"/>
            <color theme="1"/>
            <rFont val="Calibri"/>
            <family val="2"/>
            <scheme val="minor"/>
          </rPr>
          <t>Introduzca un codigo UNSPSC</t>
        </r>
      </text>
    </comment>
    <comment ref="B145" authorId="1" shapeId="0" xr:uid="{7B7CF4E7-BD7B-4E33-B04F-7542A48A01B0}">
      <text>
        <r>
          <rPr>
            <sz val="11"/>
            <color theme="1"/>
            <rFont val="Calibri"/>
            <family val="2"/>
            <scheme val="minor"/>
          </rPr>
          <t>Descripción calculada automáticamente a partir de código del artículo</t>
        </r>
      </text>
    </comment>
    <comment ref="C145" authorId="1" shapeId="0" xr:uid="{0E0CBF16-C334-4E24-AC29-151447F10C32}">
      <text>
        <r>
          <rPr>
            <sz val="11"/>
            <color theme="1"/>
            <rFont val="Calibri"/>
            <family val="2"/>
            <scheme val="minor"/>
          </rPr>
          <t>Seleccione un valor de la lista</t>
        </r>
      </text>
    </comment>
    <comment ref="D145" authorId="1" shapeId="0" xr:uid="{4AE6586B-27A3-4866-8B54-81E08D2FAC7A}">
      <text>
        <r>
          <rPr>
            <sz val="11"/>
            <color theme="1"/>
            <rFont val="Calibri"/>
            <family val="2"/>
            <scheme val="minor"/>
          </rPr>
          <t>Introduzca un número con dos decimales como máximo. Debe ser igual o mayor a la "Cantidad Real Consumida"</t>
        </r>
      </text>
    </comment>
    <comment ref="E145" authorId="1" shapeId="0" xr:uid="{3FDFD2F7-7521-4B53-BA99-28E1B1488D94}">
      <text>
        <r>
          <rPr>
            <sz val="11"/>
            <color theme="1"/>
            <rFont val="Calibri"/>
            <family val="2"/>
            <scheme val="minor"/>
          </rPr>
          <t>Introduzca un número con dos decimales como máximo</t>
        </r>
      </text>
    </comment>
    <comment ref="F145" authorId="1" shapeId="0" xr:uid="{10A4C81F-690A-4152-BA2C-5A218875B2F6}">
      <text>
        <r>
          <rPr>
            <sz val="11"/>
            <color theme="1"/>
            <rFont val="Calibri"/>
            <family val="2"/>
            <scheme val="minor"/>
          </rPr>
          <t>Monto calculado automáticamente por el sistema</t>
        </r>
      </text>
    </comment>
    <comment ref="A159" authorId="1" shapeId="0" xr:uid="{6EA493FC-D81A-42DD-A2C1-6DAB8DABBB6C}">
      <text>
        <r>
          <rPr>
            <sz val="11"/>
            <color theme="1"/>
            <rFont val="Calibri"/>
            <family val="2"/>
            <scheme val="minor"/>
          </rPr>
          <t>Introducir un texto con el nombre o referencia de la contratación</t>
        </r>
      </text>
    </comment>
    <comment ref="B159" authorId="1" shapeId="0" xr:uid="{A8783A59-4C24-4291-BE40-35E28F29FA2F}">
      <text>
        <r>
          <rPr>
            <sz val="11"/>
            <color theme="1"/>
            <rFont val="Calibri"/>
            <family val="2"/>
            <scheme val="minor"/>
          </rPr>
          <t>Introduzca un texto con la finalidad de la contratación</t>
        </r>
      </text>
    </comment>
    <comment ref="C159" authorId="1" shapeId="0" xr:uid="{3BC01AD4-3937-4F51-ADF0-42CB670D4C03}">
      <text>
        <r>
          <rPr>
            <sz val="11"/>
            <color theme="1"/>
            <rFont val="Calibri"/>
            <family val="2"/>
            <scheme val="minor"/>
          </rPr>
          <t>Seleccionar un valor del listado</t>
        </r>
      </text>
    </comment>
    <comment ref="D159" authorId="1" shapeId="0" xr:uid="{5E946129-80E7-49CA-A52E-A7590EA64C2B}">
      <text>
        <r>
          <rPr>
            <sz val="11"/>
            <color theme="1"/>
            <rFont val="Calibri"/>
            <family val="2"/>
            <scheme val="minor"/>
          </rPr>
          <t>Seleccione el tipo de procedimiento</t>
        </r>
      </text>
    </comment>
    <comment ref="E159" authorId="1" shapeId="0" xr:uid="{05A0486D-A0AC-4599-9DE5-AA89C9D633BA}">
      <text>
        <r>
          <rPr>
            <sz val="11"/>
            <color theme="1"/>
            <rFont val="Calibri"/>
            <family val="2"/>
            <scheme val="minor"/>
          </rPr>
          <t>Seleccione un valor de la lista</t>
        </r>
      </text>
    </comment>
    <comment ref="F159" authorId="1" shapeId="0" xr:uid="{4A2D34C3-B10F-405E-9F31-7B028419BCA2}">
      <text>
        <r>
          <rPr>
            <sz val="11"/>
            <color theme="1"/>
            <rFont val="Calibri"/>
            <family val="2"/>
            <scheme val="minor"/>
          </rPr>
          <t>Introduzca el código SNIP</t>
        </r>
      </text>
    </comment>
    <comment ref="C160" authorId="1" shapeId="0" xr:uid="{7DDC8725-F783-4930-84A4-4DC507478809}">
      <text>
        <r>
          <rPr>
            <sz val="11"/>
            <color theme="1"/>
            <rFont val="Calibri"/>
            <family val="2"/>
            <scheme val="minor"/>
          </rPr>
          <t>Introduzca la fecha de inicio del proceso, en formato dd-mm-aaaa</t>
        </r>
      </text>
    </comment>
    <comment ref="F160" authorId="1" shapeId="0" xr:uid="{C281417A-A470-4D4C-903F-B32957F7390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 authorId="1" shapeId="0" xr:uid="{4FD963C6-73C0-45D9-907C-131CF2505841}">
      <text/>
    </comment>
    <comment ref="C162" authorId="1" shapeId="0" xr:uid="{1ECCCB6F-F19C-46FD-80B8-2A3640DE354C}">
      <text>
        <r>
          <rPr>
            <sz val="11"/>
            <color theme="1"/>
            <rFont val="Calibri"/>
            <family val="2"/>
            <scheme val="minor"/>
          </rPr>
          <t>Introduzca la fecha prevista de adjudicación, en formato dd-mm-aaaa</t>
        </r>
      </text>
    </comment>
    <comment ref="F162" authorId="1" shapeId="0" xr:uid="{80BA444C-0190-4841-BABA-ADD1DD16A8F8}">
      <text/>
    </comment>
    <comment ref="F163" authorId="1" shapeId="0" xr:uid="{C7F575C1-6F0A-4416-B17D-B8E33B797B95}">
      <text/>
    </comment>
    <comment ref="A165" authorId="1" shapeId="0" xr:uid="{D7B3C470-D799-4639-8C14-6D494F546F7C}">
      <text>
        <r>
          <rPr>
            <sz val="11"/>
            <color theme="1"/>
            <rFont val="Calibri"/>
            <family val="2"/>
            <scheme val="minor"/>
          </rPr>
          <t>Introduzca un codigo UNSPSC</t>
        </r>
      </text>
    </comment>
    <comment ref="B165" authorId="1" shapeId="0" xr:uid="{9E250F75-6F46-4BBB-B342-78E94B94CB5E}">
      <text>
        <r>
          <rPr>
            <sz val="11"/>
            <color theme="1"/>
            <rFont val="Calibri"/>
            <family val="2"/>
            <scheme val="minor"/>
          </rPr>
          <t>Descripción calculada automáticamente a partir de código del artículo</t>
        </r>
      </text>
    </comment>
    <comment ref="C165" authorId="1" shapeId="0" xr:uid="{0D01F3E8-7247-4B2C-9AF6-87075A7C07A4}">
      <text>
        <r>
          <rPr>
            <sz val="11"/>
            <color theme="1"/>
            <rFont val="Calibri"/>
            <family val="2"/>
            <scheme val="minor"/>
          </rPr>
          <t>Seleccione un valor de la lista</t>
        </r>
      </text>
    </comment>
    <comment ref="D165" authorId="1" shapeId="0" xr:uid="{A944DCE0-29CD-4C7E-8B54-7EF5933A2392}">
      <text>
        <r>
          <rPr>
            <sz val="11"/>
            <color theme="1"/>
            <rFont val="Calibri"/>
            <family val="2"/>
            <scheme val="minor"/>
          </rPr>
          <t>Introduzca un número con dos decimales como máximo. Debe ser igual o mayor a la "Cantidad Real Consumida"</t>
        </r>
      </text>
    </comment>
    <comment ref="E165" authorId="1" shapeId="0" xr:uid="{CB17CE3F-5827-439B-A513-D263F3A8C160}">
      <text>
        <r>
          <rPr>
            <sz val="11"/>
            <color theme="1"/>
            <rFont val="Calibri"/>
            <family val="2"/>
            <scheme val="minor"/>
          </rPr>
          <t>Introduzca un número con dos decimales como máximo</t>
        </r>
      </text>
    </comment>
    <comment ref="F165" authorId="1" shapeId="0" xr:uid="{4C2ED68A-CABD-4E96-9C23-54AE89503A3B}">
      <text>
        <r>
          <rPr>
            <sz val="11"/>
            <color theme="1"/>
            <rFont val="Calibri"/>
            <family val="2"/>
            <scheme val="minor"/>
          </rPr>
          <t>Monto calculado automáticamente por el sistema</t>
        </r>
      </text>
    </comment>
    <comment ref="A179" authorId="1" shapeId="0" xr:uid="{9EF7D605-6918-4624-804D-61404C9AC034}">
      <text>
        <r>
          <rPr>
            <sz val="11"/>
            <color theme="1"/>
            <rFont val="Calibri"/>
            <family val="2"/>
            <scheme val="minor"/>
          </rPr>
          <t>Introducir un texto con el nombre o referencia de la contratación</t>
        </r>
      </text>
    </comment>
    <comment ref="B179" authorId="1" shapeId="0" xr:uid="{7D32DCCF-A74B-453D-A97D-FBFB25E10115}">
      <text>
        <r>
          <rPr>
            <sz val="11"/>
            <color theme="1"/>
            <rFont val="Calibri"/>
            <family val="2"/>
            <scheme val="minor"/>
          </rPr>
          <t>Introduzca un texto con la finalidad de la contratación</t>
        </r>
      </text>
    </comment>
    <comment ref="C179" authorId="1" shapeId="0" xr:uid="{9B216C4E-9D77-4066-AF41-17023F911413}">
      <text>
        <r>
          <rPr>
            <sz val="11"/>
            <color theme="1"/>
            <rFont val="Calibri"/>
            <family val="2"/>
            <scheme val="minor"/>
          </rPr>
          <t>Seleccionar un valor del listado</t>
        </r>
      </text>
    </comment>
    <comment ref="D179" authorId="1" shapeId="0" xr:uid="{6537DA7A-DD17-4755-95E2-A5CBEF86C846}">
      <text>
        <r>
          <rPr>
            <sz val="11"/>
            <color theme="1"/>
            <rFont val="Calibri"/>
            <family val="2"/>
            <scheme val="minor"/>
          </rPr>
          <t>Seleccione el tipo de procedimiento</t>
        </r>
      </text>
    </comment>
    <comment ref="E179" authorId="1" shapeId="0" xr:uid="{25BCD02D-CE21-4DB8-836C-417B99521382}">
      <text>
        <r>
          <rPr>
            <sz val="11"/>
            <color theme="1"/>
            <rFont val="Calibri"/>
            <family val="2"/>
            <scheme val="minor"/>
          </rPr>
          <t>Seleccione un valor de la lista</t>
        </r>
      </text>
    </comment>
    <comment ref="F179" authorId="1" shapeId="0" xr:uid="{78988565-5C41-4CD9-9B14-FA1D73A17037}">
      <text>
        <r>
          <rPr>
            <sz val="11"/>
            <color theme="1"/>
            <rFont val="Calibri"/>
            <family val="2"/>
            <scheme val="minor"/>
          </rPr>
          <t>Introduzca el código SNIP</t>
        </r>
      </text>
    </comment>
    <comment ref="C180" authorId="1" shapeId="0" xr:uid="{357B5DB4-7F1F-418D-ADED-75C61C0584CE}">
      <text>
        <r>
          <rPr>
            <sz val="11"/>
            <color theme="1"/>
            <rFont val="Calibri"/>
            <family val="2"/>
            <scheme val="minor"/>
          </rPr>
          <t>Introduzca la fecha de inicio del proceso, en formato dd-mm-aaaa</t>
        </r>
      </text>
    </comment>
    <comment ref="F180" authorId="1" shapeId="0" xr:uid="{E3B7A79B-F4D9-4967-B76F-B91B4B37469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1" authorId="1" shapeId="0" xr:uid="{92408743-7EC5-43EE-804C-2A3DBB2811DE}">
      <text/>
    </comment>
    <comment ref="C182" authorId="1" shapeId="0" xr:uid="{C114ECA1-0D05-4289-B426-B62A97A175BE}">
      <text>
        <r>
          <rPr>
            <sz val="11"/>
            <color theme="1"/>
            <rFont val="Calibri"/>
            <family val="2"/>
            <scheme val="minor"/>
          </rPr>
          <t>Introduzca la fecha prevista de adjudicación, en formato dd-mm-aaaa</t>
        </r>
      </text>
    </comment>
    <comment ref="F182" authorId="1" shapeId="0" xr:uid="{AEC39AE9-0DC0-4D16-BB88-3BB9102B52E4}">
      <text/>
    </comment>
    <comment ref="F183" authorId="1" shapeId="0" xr:uid="{F5C3B3F7-6907-4E25-A2C7-732A21E10EED}">
      <text/>
    </comment>
    <comment ref="A185" authorId="1" shapeId="0" xr:uid="{F1A4D365-6046-4AEE-B9B2-4710A5E4CB00}">
      <text>
        <r>
          <rPr>
            <sz val="11"/>
            <color theme="1"/>
            <rFont val="Calibri"/>
            <family val="2"/>
            <scheme val="minor"/>
          </rPr>
          <t>Introduzca un codigo UNSPSC</t>
        </r>
      </text>
    </comment>
    <comment ref="B185" authorId="1" shapeId="0" xr:uid="{746FCEF4-6DF9-459D-93A6-FC1852DDCF7F}">
      <text>
        <r>
          <rPr>
            <sz val="11"/>
            <color theme="1"/>
            <rFont val="Calibri"/>
            <family val="2"/>
            <scheme val="minor"/>
          </rPr>
          <t>Descripción calculada automáticamente a partir de código del artículo</t>
        </r>
      </text>
    </comment>
    <comment ref="C185" authorId="1" shapeId="0" xr:uid="{415D4F0A-3726-496C-A578-E51FA70E55DD}">
      <text>
        <r>
          <rPr>
            <sz val="11"/>
            <color theme="1"/>
            <rFont val="Calibri"/>
            <family val="2"/>
            <scheme val="minor"/>
          </rPr>
          <t>Seleccione un valor de la lista</t>
        </r>
      </text>
    </comment>
    <comment ref="D185" authorId="1" shapeId="0" xr:uid="{17820CA9-E5CF-4833-BC34-57A0403CCD36}">
      <text>
        <r>
          <rPr>
            <sz val="11"/>
            <color theme="1"/>
            <rFont val="Calibri"/>
            <family val="2"/>
            <scheme val="minor"/>
          </rPr>
          <t>Introduzca un número con dos decimales como máximo. Debe ser igual o mayor a la "Cantidad Real Consumida"</t>
        </r>
      </text>
    </comment>
    <comment ref="E185" authorId="1" shapeId="0" xr:uid="{3C83105A-74E6-45A2-A212-AC823FF223C8}">
      <text>
        <r>
          <rPr>
            <sz val="11"/>
            <color theme="1"/>
            <rFont val="Calibri"/>
            <family val="2"/>
            <scheme val="minor"/>
          </rPr>
          <t>Introduzca un número con dos decimales como máximo</t>
        </r>
      </text>
    </comment>
    <comment ref="F185" authorId="1" shapeId="0" xr:uid="{3EE46C2A-726D-41AD-A88C-58E0530DB82C}">
      <text>
        <r>
          <rPr>
            <sz val="11"/>
            <color theme="1"/>
            <rFont val="Calibri"/>
            <family val="2"/>
            <scheme val="minor"/>
          </rPr>
          <t>Monto calculado automáticamente por el sistema</t>
        </r>
      </text>
    </comment>
    <comment ref="A190" authorId="1" shapeId="0" xr:uid="{F636BBF2-FB88-4C04-8BF6-56C9C5D61DFB}">
      <text>
        <r>
          <rPr>
            <sz val="11"/>
            <color theme="1"/>
            <rFont val="Calibri"/>
            <family val="2"/>
            <scheme val="minor"/>
          </rPr>
          <t>Introducir un texto con el nombre o referencia de la contratación</t>
        </r>
      </text>
    </comment>
    <comment ref="B190" authorId="1" shapeId="0" xr:uid="{A5172668-EA0E-4A6B-8D69-2EA6A478B414}">
      <text>
        <r>
          <rPr>
            <sz val="11"/>
            <color theme="1"/>
            <rFont val="Calibri"/>
            <family val="2"/>
            <scheme val="minor"/>
          </rPr>
          <t>Introduzca un texto con la finalidad de la contratación</t>
        </r>
      </text>
    </comment>
    <comment ref="C190" authorId="1" shapeId="0" xr:uid="{40DDFA24-7452-4B56-BC0E-8EF08EFC9D94}">
      <text>
        <r>
          <rPr>
            <sz val="11"/>
            <color theme="1"/>
            <rFont val="Calibri"/>
            <family val="2"/>
            <scheme val="minor"/>
          </rPr>
          <t>Seleccionar un valor del listado</t>
        </r>
      </text>
    </comment>
    <comment ref="D190" authorId="1" shapeId="0" xr:uid="{D03269AE-8ED9-4844-95A4-26ABAD623615}">
      <text>
        <r>
          <rPr>
            <sz val="11"/>
            <color theme="1"/>
            <rFont val="Calibri"/>
            <family val="2"/>
            <scheme val="minor"/>
          </rPr>
          <t>Seleccione el tipo de procedimiento</t>
        </r>
      </text>
    </comment>
    <comment ref="E190" authorId="1" shapeId="0" xr:uid="{66E1E2B6-0C96-48D4-86C4-6C42445FFD28}">
      <text>
        <r>
          <rPr>
            <sz val="11"/>
            <color theme="1"/>
            <rFont val="Calibri"/>
            <family val="2"/>
            <scheme val="minor"/>
          </rPr>
          <t>Seleccione un valor de la lista</t>
        </r>
      </text>
    </comment>
    <comment ref="F190" authorId="1" shapeId="0" xr:uid="{82C84345-8A52-4093-870D-219314818EC4}">
      <text>
        <r>
          <rPr>
            <sz val="11"/>
            <color theme="1"/>
            <rFont val="Calibri"/>
            <family val="2"/>
            <scheme val="minor"/>
          </rPr>
          <t>Introduzca el código SNIP</t>
        </r>
      </text>
    </comment>
    <comment ref="C191" authorId="1" shapeId="0" xr:uid="{1564873D-4F7D-4DC1-BC72-5EAB04D04E1D}">
      <text>
        <r>
          <rPr>
            <sz val="11"/>
            <color theme="1"/>
            <rFont val="Calibri"/>
            <family val="2"/>
            <scheme val="minor"/>
          </rPr>
          <t>Introduzca la fecha de inicio del proceso, en formato dd-mm-aaaa</t>
        </r>
      </text>
    </comment>
    <comment ref="F191" authorId="1" shapeId="0" xr:uid="{6B36B307-A0BD-440B-9BEF-E35C6C731F0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2" authorId="1" shapeId="0" xr:uid="{DC5F10C7-AAB6-4F24-B451-4406B3F0D891}">
      <text/>
    </comment>
    <comment ref="C193" authorId="1" shapeId="0" xr:uid="{36A45253-558C-44AF-BDA0-5E721A20E2C2}">
      <text>
        <r>
          <rPr>
            <sz val="11"/>
            <color theme="1"/>
            <rFont val="Calibri"/>
            <family val="2"/>
            <scheme val="minor"/>
          </rPr>
          <t>Introduzca la fecha prevista de adjudicación, en formato dd-mm-aaaa</t>
        </r>
      </text>
    </comment>
    <comment ref="F193" authorId="1" shapeId="0" xr:uid="{C3AF902F-6099-4B7E-B707-D8D9892B48EE}">
      <text/>
    </comment>
    <comment ref="F194" authorId="1" shapeId="0" xr:uid="{142EBFC4-A8A5-4908-99AF-E112BBEC08F4}">
      <text/>
    </comment>
    <comment ref="A196" authorId="1" shapeId="0" xr:uid="{F487041A-FCE3-4201-80A7-21CC9429CAAD}">
      <text>
        <r>
          <rPr>
            <sz val="11"/>
            <color theme="1"/>
            <rFont val="Calibri"/>
            <family val="2"/>
            <scheme val="minor"/>
          </rPr>
          <t>Introduzca un codigo UNSPSC</t>
        </r>
      </text>
    </comment>
    <comment ref="B196" authorId="1" shapeId="0" xr:uid="{EC0982F0-2E5A-4DE6-B4AD-A2B27C54727B}">
      <text>
        <r>
          <rPr>
            <sz val="11"/>
            <color theme="1"/>
            <rFont val="Calibri"/>
            <family val="2"/>
            <scheme val="minor"/>
          </rPr>
          <t>Descripción calculada automáticamente a partir de código del artículo</t>
        </r>
      </text>
    </comment>
    <comment ref="C196" authorId="1" shapeId="0" xr:uid="{D2C6FF03-FC80-48A9-8860-4A2512D8D33A}">
      <text>
        <r>
          <rPr>
            <sz val="11"/>
            <color theme="1"/>
            <rFont val="Calibri"/>
            <family val="2"/>
            <scheme val="minor"/>
          </rPr>
          <t>Seleccione un valor de la lista</t>
        </r>
      </text>
    </comment>
    <comment ref="D196" authorId="1" shapeId="0" xr:uid="{89304E0D-3361-49B5-813B-FFE1F4C2C214}">
      <text>
        <r>
          <rPr>
            <sz val="11"/>
            <color theme="1"/>
            <rFont val="Calibri"/>
            <family val="2"/>
            <scheme val="minor"/>
          </rPr>
          <t>Introduzca un número con dos decimales como máximo. Debe ser igual o mayor a la "Cantidad Real Consumida"</t>
        </r>
      </text>
    </comment>
    <comment ref="E196" authorId="1" shapeId="0" xr:uid="{8BD5811B-4A9B-4F5C-8BF6-AFE133019736}">
      <text>
        <r>
          <rPr>
            <sz val="11"/>
            <color theme="1"/>
            <rFont val="Calibri"/>
            <family val="2"/>
            <scheme val="minor"/>
          </rPr>
          <t>Introduzca un número con dos decimales como máximo</t>
        </r>
      </text>
    </comment>
    <comment ref="F196" authorId="1" shapeId="0" xr:uid="{E8D465E9-2ED5-4074-B9F6-035B988DB7E8}">
      <text>
        <r>
          <rPr>
            <sz val="11"/>
            <color theme="1"/>
            <rFont val="Calibri"/>
            <family val="2"/>
            <scheme val="minor"/>
          </rPr>
          <t>Monto calculado automáticamente por el sistema</t>
        </r>
      </text>
    </comment>
    <comment ref="A201" authorId="1" shapeId="0" xr:uid="{F364DC3A-FF19-4218-89FE-983816BA46BE}">
      <text>
        <r>
          <rPr>
            <sz val="11"/>
            <color theme="1"/>
            <rFont val="Calibri"/>
            <family val="2"/>
            <scheme val="minor"/>
          </rPr>
          <t>Introducir un texto con el nombre o referencia de la contratación</t>
        </r>
      </text>
    </comment>
    <comment ref="B201" authorId="1" shapeId="0" xr:uid="{E7997929-9512-43AB-BDEC-1C2596E9E436}">
      <text>
        <r>
          <rPr>
            <sz val="11"/>
            <color theme="1"/>
            <rFont val="Calibri"/>
            <family val="2"/>
            <scheme val="minor"/>
          </rPr>
          <t>Introduzca un texto con la finalidad de la contratación</t>
        </r>
      </text>
    </comment>
    <comment ref="C201" authorId="1" shapeId="0" xr:uid="{F44D392C-4217-4BA2-9407-4293BEB205EE}">
      <text>
        <r>
          <rPr>
            <sz val="11"/>
            <color theme="1"/>
            <rFont val="Calibri"/>
            <family val="2"/>
            <scheme val="minor"/>
          </rPr>
          <t>Seleccionar un valor del listado</t>
        </r>
      </text>
    </comment>
    <comment ref="D201" authorId="1" shapeId="0" xr:uid="{FE54ACED-7D36-4BE2-AE37-B569CF01F433}">
      <text>
        <r>
          <rPr>
            <sz val="11"/>
            <color theme="1"/>
            <rFont val="Calibri"/>
            <family val="2"/>
            <scheme val="minor"/>
          </rPr>
          <t>Seleccione el tipo de procedimiento</t>
        </r>
      </text>
    </comment>
    <comment ref="E201" authorId="1" shapeId="0" xr:uid="{7569DA55-FF6C-4D2A-8D2E-6560A2513618}">
      <text>
        <r>
          <rPr>
            <sz val="11"/>
            <color theme="1"/>
            <rFont val="Calibri"/>
            <family val="2"/>
            <scheme val="minor"/>
          </rPr>
          <t>Seleccione un valor de la lista</t>
        </r>
      </text>
    </comment>
    <comment ref="F201" authorId="1" shapeId="0" xr:uid="{4138BEBD-1655-40E2-883D-B2E0E3ADFDAC}">
      <text>
        <r>
          <rPr>
            <sz val="11"/>
            <color theme="1"/>
            <rFont val="Calibri"/>
            <family val="2"/>
            <scheme val="minor"/>
          </rPr>
          <t>Introduzca el código SNIP</t>
        </r>
      </text>
    </comment>
    <comment ref="C202" authorId="1" shapeId="0" xr:uid="{3F237963-5539-43B9-8C54-76D50B2213E4}">
      <text>
        <r>
          <rPr>
            <sz val="11"/>
            <color theme="1"/>
            <rFont val="Calibri"/>
            <family val="2"/>
            <scheme val="minor"/>
          </rPr>
          <t>Introduzca la fecha de inicio del proceso, en formato dd-mm-aaaa</t>
        </r>
      </text>
    </comment>
    <comment ref="F202" authorId="1" shapeId="0" xr:uid="{9D7722F1-9762-41C5-965F-557B87E2B67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3" authorId="1" shapeId="0" xr:uid="{F4419865-E2C4-4635-9625-856CDD6211C3}">
      <text/>
    </comment>
    <comment ref="C204" authorId="1" shapeId="0" xr:uid="{F31BDE74-B538-45B0-ADE4-1CD9F6012770}">
      <text>
        <r>
          <rPr>
            <sz val="11"/>
            <color theme="1"/>
            <rFont val="Calibri"/>
            <family val="2"/>
            <scheme val="minor"/>
          </rPr>
          <t>Introduzca la fecha prevista de adjudicación, en formato dd-mm-aaaa</t>
        </r>
      </text>
    </comment>
    <comment ref="F204" authorId="1" shapeId="0" xr:uid="{34836E4A-4838-47CB-B0D6-7A2C015D58F9}">
      <text/>
    </comment>
    <comment ref="F205" authorId="1" shapeId="0" xr:uid="{62723D21-A258-47FA-968E-FA876114F34F}">
      <text/>
    </comment>
    <comment ref="A207" authorId="1" shapeId="0" xr:uid="{284E25B8-714F-4BEF-A62A-7D721939EB2A}">
      <text>
        <r>
          <rPr>
            <sz val="11"/>
            <color theme="1"/>
            <rFont val="Calibri"/>
            <family val="2"/>
            <scheme val="minor"/>
          </rPr>
          <t>Introduzca un codigo UNSPSC</t>
        </r>
      </text>
    </comment>
    <comment ref="B207" authorId="1" shapeId="0" xr:uid="{C0A58EE9-BD66-4C4A-BF24-9BD74006B0F0}">
      <text>
        <r>
          <rPr>
            <sz val="11"/>
            <color theme="1"/>
            <rFont val="Calibri"/>
            <family val="2"/>
            <scheme val="minor"/>
          </rPr>
          <t>Descripción calculada automáticamente a partir de código del artículo</t>
        </r>
      </text>
    </comment>
    <comment ref="C207" authorId="1" shapeId="0" xr:uid="{160466E7-BF50-4457-92E2-CCAE29CB14EC}">
      <text>
        <r>
          <rPr>
            <sz val="11"/>
            <color theme="1"/>
            <rFont val="Calibri"/>
            <family val="2"/>
            <scheme val="minor"/>
          </rPr>
          <t>Seleccione un valor de la lista</t>
        </r>
      </text>
    </comment>
    <comment ref="D207" authorId="1" shapeId="0" xr:uid="{520D26CF-F98D-4A06-8F15-A830F4C2DE1A}">
      <text>
        <r>
          <rPr>
            <sz val="11"/>
            <color theme="1"/>
            <rFont val="Calibri"/>
            <family val="2"/>
            <scheme val="minor"/>
          </rPr>
          <t>Introduzca un número con dos decimales como máximo. Debe ser igual o mayor a la "Cantidad Real Consumida"</t>
        </r>
      </text>
    </comment>
    <comment ref="E207" authorId="1" shapeId="0" xr:uid="{1C0F0BEF-660D-41BC-8301-7466BBAC6581}">
      <text>
        <r>
          <rPr>
            <sz val="11"/>
            <color theme="1"/>
            <rFont val="Calibri"/>
            <family val="2"/>
            <scheme val="minor"/>
          </rPr>
          <t>Introduzca un número con dos decimales como máximo</t>
        </r>
      </text>
    </comment>
    <comment ref="F207" authorId="1" shapeId="0" xr:uid="{E09F625F-CF7E-47C4-B3CE-FC8003642C74}">
      <text>
        <r>
          <rPr>
            <sz val="11"/>
            <color theme="1"/>
            <rFont val="Calibri"/>
            <family val="2"/>
            <scheme val="minor"/>
          </rPr>
          <t>Monto calculado automáticamente por el sistema</t>
        </r>
      </text>
    </comment>
    <comment ref="A213" authorId="1" shapeId="0" xr:uid="{5FBCB631-116C-400F-8AFE-44FE0C0B15C5}">
      <text>
        <r>
          <rPr>
            <sz val="11"/>
            <color theme="1"/>
            <rFont val="Calibri"/>
            <family val="2"/>
            <scheme val="minor"/>
          </rPr>
          <t>Introducir un texto con el nombre o referencia de la contratación</t>
        </r>
      </text>
    </comment>
    <comment ref="B213" authorId="1" shapeId="0" xr:uid="{1B70832A-5355-4FE2-845F-7958638FD23D}">
      <text>
        <r>
          <rPr>
            <sz val="11"/>
            <color theme="1"/>
            <rFont val="Calibri"/>
            <family val="2"/>
            <scheme val="minor"/>
          </rPr>
          <t>Introduzca un texto con la finalidad de la contratación</t>
        </r>
      </text>
    </comment>
    <comment ref="C213" authorId="1" shapeId="0" xr:uid="{9DEACEE1-52A5-49FF-83FB-76839B6DBD71}">
      <text>
        <r>
          <rPr>
            <sz val="11"/>
            <color theme="1"/>
            <rFont val="Calibri"/>
            <family val="2"/>
            <scheme val="minor"/>
          </rPr>
          <t>Seleccionar un valor del listado</t>
        </r>
      </text>
    </comment>
    <comment ref="D213" authorId="1" shapeId="0" xr:uid="{BDF42255-9D39-44F9-AD07-9AC7859AF38B}">
      <text>
        <r>
          <rPr>
            <sz val="11"/>
            <color theme="1"/>
            <rFont val="Calibri"/>
            <family val="2"/>
            <scheme val="minor"/>
          </rPr>
          <t>Seleccione el tipo de procedimiento</t>
        </r>
      </text>
    </comment>
    <comment ref="E213" authorId="1" shapeId="0" xr:uid="{B4BD5EDF-A598-438D-8476-94B3E676B7BC}">
      <text>
        <r>
          <rPr>
            <sz val="11"/>
            <color theme="1"/>
            <rFont val="Calibri"/>
            <family val="2"/>
            <scheme val="minor"/>
          </rPr>
          <t>Seleccione un valor de la lista</t>
        </r>
      </text>
    </comment>
    <comment ref="F213" authorId="1" shapeId="0" xr:uid="{2600FC6E-2ED9-415A-8664-5D8B5FEB1BD2}">
      <text>
        <r>
          <rPr>
            <sz val="11"/>
            <color theme="1"/>
            <rFont val="Calibri"/>
            <family val="2"/>
            <scheme val="minor"/>
          </rPr>
          <t>Introduzca el código SNIP</t>
        </r>
      </text>
    </comment>
    <comment ref="C214" authorId="1" shapeId="0" xr:uid="{1B905F76-4B2A-4A79-8E58-8C325A2907AC}">
      <text>
        <r>
          <rPr>
            <sz val="11"/>
            <color theme="1"/>
            <rFont val="Calibri"/>
            <family val="2"/>
            <scheme val="minor"/>
          </rPr>
          <t>Introduzca la fecha de inicio del proceso, en formato dd-mm-aaaa</t>
        </r>
      </text>
    </comment>
    <comment ref="F214" authorId="1" shapeId="0" xr:uid="{CEA1424B-10B3-4D68-9D70-275D0508209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5" authorId="1" shapeId="0" xr:uid="{ECE17D43-B1EC-41C2-AA46-C15140D00083}">
      <text/>
    </comment>
    <comment ref="C216" authorId="1" shapeId="0" xr:uid="{1B2586EB-3EC4-4FDB-A971-F9D2F6385374}">
      <text>
        <r>
          <rPr>
            <sz val="11"/>
            <color theme="1"/>
            <rFont val="Calibri"/>
            <family val="2"/>
            <scheme val="minor"/>
          </rPr>
          <t>Introduzca la fecha prevista de adjudicación, en formato dd-mm-aaaa</t>
        </r>
      </text>
    </comment>
    <comment ref="F216" authorId="1" shapeId="0" xr:uid="{25280753-3F8F-4A2D-A9DB-7C52BB2BA8BD}">
      <text/>
    </comment>
    <comment ref="F217" authorId="1" shapeId="0" xr:uid="{97A1DA57-134F-4FB3-BC00-39EAB871AD5F}">
      <text/>
    </comment>
    <comment ref="A219" authorId="1" shapeId="0" xr:uid="{46148B66-83C8-4A28-86A0-98C74592F773}">
      <text>
        <r>
          <rPr>
            <sz val="11"/>
            <color theme="1"/>
            <rFont val="Calibri"/>
            <family val="2"/>
            <scheme val="minor"/>
          </rPr>
          <t>Introduzca un codigo UNSPSC</t>
        </r>
      </text>
    </comment>
    <comment ref="B219" authorId="1" shapeId="0" xr:uid="{2659527A-171B-4731-BAEB-184B95F32FB5}">
      <text>
        <r>
          <rPr>
            <sz val="11"/>
            <color theme="1"/>
            <rFont val="Calibri"/>
            <family val="2"/>
            <scheme val="minor"/>
          </rPr>
          <t>Descripción calculada automáticamente a partir de código del artículo</t>
        </r>
      </text>
    </comment>
    <comment ref="C219" authorId="1" shapeId="0" xr:uid="{F9F0D697-88F0-432E-91D8-BD0BAEFCADF9}">
      <text>
        <r>
          <rPr>
            <sz val="11"/>
            <color theme="1"/>
            <rFont val="Calibri"/>
            <family val="2"/>
            <scheme val="minor"/>
          </rPr>
          <t>Seleccione un valor de la lista</t>
        </r>
      </text>
    </comment>
    <comment ref="D219" authorId="1" shapeId="0" xr:uid="{F38ECC7A-3B60-494D-A36F-814746B8C8B2}">
      <text>
        <r>
          <rPr>
            <sz val="11"/>
            <color theme="1"/>
            <rFont val="Calibri"/>
            <family val="2"/>
            <scheme val="minor"/>
          </rPr>
          <t>Introduzca un número con dos decimales como máximo. Debe ser igual o mayor a la "Cantidad Real Consumida"</t>
        </r>
      </text>
    </comment>
    <comment ref="E219" authorId="1" shapeId="0" xr:uid="{9CF04438-D243-4A93-BECE-DF82002F8F29}">
      <text>
        <r>
          <rPr>
            <sz val="11"/>
            <color theme="1"/>
            <rFont val="Calibri"/>
            <family val="2"/>
            <scheme val="minor"/>
          </rPr>
          <t>Introduzca un número con dos decimales como máximo</t>
        </r>
      </text>
    </comment>
    <comment ref="F219" authorId="1" shapeId="0" xr:uid="{D44075D6-1787-4402-90FC-557DB1115BB0}">
      <text>
        <r>
          <rPr>
            <sz val="11"/>
            <color theme="1"/>
            <rFont val="Calibri"/>
            <family val="2"/>
            <scheme val="minor"/>
          </rPr>
          <t>Monto calculado automáticamente por el sistema</t>
        </r>
      </text>
    </comment>
    <comment ref="A224" authorId="1" shapeId="0" xr:uid="{6AC8E196-2C9E-4E07-8483-6EB9A2575B9D}">
      <text>
        <r>
          <rPr>
            <sz val="11"/>
            <color theme="1"/>
            <rFont val="Calibri"/>
            <family val="2"/>
            <scheme val="minor"/>
          </rPr>
          <t>Introducir un texto con el nombre o referencia de la contratación</t>
        </r>
      </text>
    </comment>
    <comment ref="B224" authorId="1" shapeId="0" xr:uid="{D5EB3AD8-7699-46BF-9294-4E620699E722}">
      <text>
        <r>
          <rPr>
            <sz val="11"/>
            <color theme="1"/>
            <rFont val="Calibri"/>
            <family val="2"/>
            <scheme val="minor"/>
          </rPr>
          <t>Introduzca un texto con la finalidad de la contratación</t>
        </r>
      </text>
    </comment>
    <comment ref="C224" authorId="1" shapeId="0" xr:uid="{E4423FFB-42D9-41CE-B9F7-509430040503}">
      <text>
        <r>
          <rPr>
            <sz val="11"/>
            <color theme="1"/>
            <rFont val="Calibri"/>
            <family val="2"/>
            <scheme val="minor"/>
          </rPr>
          <t>Seleccionar un valor del listado</t>
        </r>
      </text>
    </comment>
    <comment ref="D224" authorId="1" shapeId="0" xr:uid="{60985063-3C1D-4D1C-B49D-484915115BF6}">
      <text>
        <r>
          <rPr>
            <sz val="11"/>
            <color theme="1"/>
            <rFont val="Calibri"/>
            <family val="2"/>
            <scheme val="minor"/>
          </rPr>
          <t>Seleccione el tipo de procedimiento</t>
        </r>
      </text>
    </comment>
    <comment ref="E224" authorId="1" shapeId="0" xr:uid="{E6C645C1-38BF-4004-B7F5-09702ADFED4D}">
      <text>
        <r>
          <rPr>
            <sz val="11"/>
            <color theme="1"/>
            <rFont val="Calibri"/>
            <family val="2"/>
            <scheme val="minor"/>
          </rPr>
          <t>Seleccione un valor de la lista</t>
        </r>
      </text>
    </comment>
    <comment ref="F224" authorId="1" shapeId="0" xr:uid="{73EFE78B-6AC7-4F10-82CF-8A4A1CFB7C19}">
      <text>
        <r>
          <rPr>
            <sz val="11"/>
            <color theme="1"/>
            <rFont val="Calibri"/>
            <family val="2"/>
            <scheme val="minor"/>
          </rPr>
          <t>Introduzca el código SNIP</t>
        </r>
      </text>
    </comment>
    <comment ref="C225" authorId="1" shapeId="0" xr:uid="{9099208E-5D38-4ACC-AE29-8B55F29AE11A}">
      <text>
        <r>
          <rPr>
            <sz val="11"/>
            <color theme="1"/>
            <rFont val="Calibri"/>
            <family val="2"/>
            <scheme val="minor"/>
          </rPr>
          <t>Introduzca la fecha de inicio del proceso, en formato dd-mm-aaaa</t>
        </r>
      </text>
    </comment>
    <comment ref="F225" authorId="1" shapeId="0" xr:uid="{BCDFF806-C08E-4E1B-A6F7-5427C195A69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6" authorId="1" shapeId="0" xr:uid="{9FEC78F8-8405-458F-851E-7A94857CD1F5}">
      <text/>
    </comment>
    <comment ref="C227" authorId="1" shapeId="0" xr:uid="{BF64DD8B-0C8D-4F87-A3B2-047BA246E267}">
      <text>
        <r>
          <rPr>
            <sz val="11"/>
            <color theme="1"/>
            <rFont val="Calibri"/>
            <family val="2"/>
            <scheme val="minor"/>
          </rPr>
          <t>Introduzca la fecha prevista de adjudicación, en formato dd-mm-aaaa</t>
        </r>
      </text>
    </comment>
    <comment ref="F227" authorId="1" shapeId="0" xr:uid="{5AFE1F29-9123-4CE2-88D1-93AAE0D91699}">
      <text/>
    </comment>
    <comment ref="F228" authorId="1" shapeId="0" xr:uid="{06449184-37D5-40FE-B621-5FC2B15BF163}">
      <text/>
    </comment>
    <comment ref="A230" authorId="1" shapeId="0" xr:uid="{7E1D0096-753C-40BF-AA44-3C6941EF328E}">
      <text>
        <r>
          <rPr>
            <sz val="11"/>
            <color theme="1"/>
            <rFont val="Calibri"/>
            <family val="2"/>
            <scheme val="minor"/>
          </rPr>
          <t>Introduzca un codigo UNSPSC</t>
        </r>
      </text>
    </comment>
    <comment ref="B230" authorId="1" shapeId="0" xr:uid="{78E65462-3BC3-47FC-BC25-897ED77CE759}">
      <text>
        <r>
          <rPr>
            <sz val="11"/>
            <color theme="1"/>
            <rFont val="Calibri"/>
            <family val="2"/>
            <scheme val="minor"/>
          </rPr>
          <t>Descripción calculada automáticamente a partir de código del artículo</t>
        </r>
      </text>
    </comment>
    <comment ref="C230" authorId="1" shapeId="0" xr:uid="{A61D2890-3909-4B22-A1AB-EF698A32E68E}">
      <text>
        <r>
          <rPr>
            <sz val="11"/>
            <color theme="1"/>
            <rFont val="Calibri"/>
            <family val="2"/>
            <scheme val="minor"/>
          </rPr>
          <t>Seleccione un valor de la lista</t>
        </r>
      </text>
    </comment>
    <comment ref="D230" authorId="1" shapeId="0" xr:uid="{2C4EEA2E-EA81-453E-A060-D9C5F13B2254}">
      <text>
        <r>
          <rPr>
            <sz val="11"/>
            <color theme="1"/>
            <rFont val="Calibri"/>
            <family val="2"/>
            <scheme val="minor"/>
          </rPr>
          <t>Introduzca un número con dos decimales como máximo. Debe ser igual o mayor a la "Cantidad Real Consumida"</t>
        </r>
      </text>
    </comment>
    <comment ref="E230" authorId="1" shapeId="0" xr:uid="{16529D94-7703-41F0-B2E0-2CB677F5BEC8}">
      <text>
        <r>
          <rPr>
            <sz val="11"/>
            <color theme="1"/>
            <rFont val="Calibri"/>
            <family val="2"/>
            <scheme val="minor"/>
          </rPr>
          <t>Introduzca un número con dos decimales como máximo</t>
        </r>
      </text>
    </comment>
    <comment ref="F230" authorId="1" shapeId="0" xr:uid="{F705E458-02FF-4E3B-9755-4BA367833E83}">
      <text>
        <r>
          <rPr>
            <sz val="11"/>
            <color theme="1"/>
            <rFont val="Calibri"/>
            <family val="2"/>
            <scheme val="minor"/>
          </rPr>
          <t>Monto calculado automáticamente por el sistema</t>
        </r>
      </text>
    </comment>
    <comment ref="A235" authorId="1" shapeId="0" xr:uid="{938CD5EC-CE29-4163-9307-20B7EFA8E88A}">
      <text>
        <r>
          <rPr>
            <sz val="11"/>
            <color theme="1"/>
            <rFont val="Calibri"/>
            <family val="2"/>
            <scheme val="minor"/>
          </rPr>
          <t>Introducir un texto con el nombre o referencia de la contratación</t>
        </r>
      </text>
    </comment>
    <comment ref="B235" authorId="1" shapeId="0" xr:uid="{94A04D38-3B32-488C-9A56-FA0804810E59}">
      <text>
        <r>
          <rPr>
            <sz val="11"/>
            <color theme="1"/>
            <rFont val="Calibri"/>
            <family val="2"/>
            <scheme val="minor"/>
          </rPr>
          <t>Introduzca un texto con la finalidad de la contratación</t>
        </r>
      </text>
    </comment>
    <comment ref="C235" authorId="1" shapeId="0" xr:uid="{DD57886B-6CB5-4046-B127-9A1B14AEB12F}">
      <text>
        <r>
          <rPr>
            <sz val="11"/>
            <color theme="1"/>
            <rFont val="Calibri"/>
            <family val="2"/>
            <scheme val="minor"/>
          </rPr>
          <t>Seleccionar un valor del listado</t>
        </r>
      </text>
    </comment>
    <comment ref="D235" authorId="1" shapeId="0" xr:uid="{7226DEE8-077D-4D1D-A0C4-CE7111B03D2D}">
      <text>
        <r>
          <rPr>
            <sz val="11"/>
            <color theme="1"/>
            <rFont val="Calibri"/>
            <family val="2"/>
            <scheme val="minor"/>
          </rPr>
          <t>Seleccione el tipo de procedimiento</t>
        </r>
      </text>
    </comment>
    <comment ref="E235" authorId="1" shapeId="0" xr:uid="{895212AF-8C3C-4086-B5A0-943DD6E19129}">
      <text>
        <r>
          <rPr>
            <sz val="11"/>
            <color theme="1"/>
            <rFont val="Calibri"/>
            <family val="2"/>
            <scheme val="minor"/>
          </rPr>
          <t>Seleccione un valor de la lista</t>
        </r>
      </text>
    </comment>
    <comment ref="F235" authorId="1" shapeId="0" xr:uid="{C3900930-461F-4FEE-884B-1786731B23F7}">
      <text>
        <r>
          <rPr>
            <sz val="11"/>
            <color theme="1"/>
            <rFont val="Calibri"/>
            <family val="2"/>
            <scheme val="minor"/>
          </rPr>
          <t>Introduzca el código SNIP</t>
        </r>
      </text>
    </comment>
    <comment ref="C236" authorId="1" shapeId="0" xr:uid="{04C64533-C228-4CEA-BD83-240B358E2EEF}">
      <text>
        <r>
          <rPr>
            <sz val="11"/>
            <color theme="1"/>
            <rFont val="Calibri"/>
            <family val="2"/>
            <scheme val="minor"/>
          </rPr>
          <t>Introduzca la fecha de inicio del proceso, en formato dd-mm-aaaa</t>
        </r>
      </text>
    </comment>
    <comment ref="F236" authorId="1" shapeId="0" xr:uid="{D01702F6-E20F-4E8A-BC3A-ABC2446185E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7" authorId="1" shapeId="0" xr:uid="{76B3C963-28A6-4110-A61F-F13A1E7D856D}">
      <text/>
    </comment>
    <comment ref="C238" authorId="1" shapeId="0" xr:uid="{5B1732FB-AB7F-453B-832E-AC643BAB4E26}">
      <text>
        <r>
          <rPr>
            <sz val="11"/>
            <color theme="1"/>
            <rFont val="Calibri"/>
            <family val="2"/>
            <scheme val="minor"/>
          </rPr>
          <t>Introduzca la fecha prevista de adjudicación, en formato dd-mm-aaaa</t>
        </r>
      </text>
    </comment>
    <comment ref="F238" authorId="1" shapeId="0" xr:uid="{9D10A7F0-43AF-4608-9479-7C38DBF60745}">
      <text/>
    </comment>
    <comment ref="F239" authorId="1" shapeId="0" xr:uid="{56FA1A6A-7151-42D7-93AA-3ADDBD0B8310}">
      <text/>
    </comment>
    <comment ref="A241" authorId="1" shapeId="0" xr:uid="{C9F7040B-569B-4772-80A8-1366391EDACC}">
      <text>
        <r>
          <rPr>
            <sz val="11"/>
            <color theme="1"/>
            <rFont val="Calibri"/>
            <family val="2"/>
            <scheme val="minor"/>
          </rPr>
          <t>Introduzca un codigo UNSPSC</t>
        </r>
      </text>
    </comment>
    <comment ref="B241" authorId="1" shapeId="0" xr:uid="{0F9F2CB3-957D-46AD-A5F9-8F57A80B07D7}">
      <text>
        <r>
          <rPr>
            <sz val="11"/>
            <color theme="1"/>
            <rFont val="Calibri"/>
            <family val="2"/>
            <scheme val="minor"/>
          </rPr>
          <t>Descripción calculada automáticamente a partir de código del artículo</t>
        </r>
      </text>
    </comment>
    <comment ref="C241" authorId="1" shapeId="0" xr:uid="{A2741A1F-EF52-4C58-B1E8-7DE873D8602E}">
      <text>
        <r>
          <rPr>
            <sz val="11"/>
            <color theme="1"/>
            <rFont val="Calibri"/>
            <family val="2"/>
            <scheme val="minor"/>
          </rPr>
          <t>Seleccione un valor de la lista</t>
        </r>
      </text>
    </comment>
    <comment ref="D241" authorId="1" shapeId="0" xr:uid="{04AC192E-FDF0-44D4-A65F-9320BA919995}">
      <text>
        <r>
          <rPr>
            <sz val="11"/>
            <color theme="1"/>
            <rFont val="Calibri"/>
            <family val="2"/>
            <scheme val="minor"/>
          </rPr>
          <t>Introduzca un número con dos decimales como máximo. Debe ser igual o mayor a la "Cantidad Real Consumida"</t>
        </r>
      </text>
    </comment>
    <comment ref="E241" authorId="1" shapeId="0" xr:uid="{C0E88504-4A0B-406E-9B2E-A95EF28FFB86}">
      <text>
        <r>
          <rPr>
            <sz val="11"/>
            <color theme="1"/>
            <rFont val="Calibri"/>
            <family val="2"/>
            <scheme val="minor"/>
          </rPr>
          <t>Introduzca un número con dos decimales como máximo</t>
        </r>
      </text>
    </comment>
    <comment ref="F241" authorId="1" shapeId="0" xr:uid="{9DA87025-8D2B-4015-8818-26004D959D9C}">
      <text>
        <r>
          <rPr>
            <sz val="11"/>
            <color theme="1"/>
            <rFont val="Calibri"/>
            <family val="2"/>
            <scheme val="minor"/>
          </rPr>
          <t>Monto calculado automáticamente por el sistema</t>
        </r>
      </text>
    </comment>
    <comment ref="A246" authorId="1" shapeId="0" xr:uid="{651A4672-5251-4EB6-A6FF-7456E456CD43}">
      <text>
        <r>
          <rPr>
            <sz val="11"/>
            <color theme="1"/>
            <rFont val="Calibri"/>
            <family val="2"/>
            <scheme val="minor"/>
          </rPr>
          <t>Introducir un texto con el nombre o referencia de la contratación</t>
        </r>
      </text>
    </comment>
    <comment ref="B246" authorId="1" shapeId="0" xr:uid="{9F33C45A-5807-4DCF-8C93-3173EC1C9654}">
      <text>
        <r>
          <rPr>
            <sz val="11"/>
            <color theme="1"/>
            <rFont val="Calibri"/>
            <family val="2"/>
            <scheme val="minor"/>
          </rPr>
          <t>Introduzca un texto con la finalidad de la contratación</t>
        </r>
      </text>
    </comment>
    <comment ref="C246" authorId="1" shapeId="0" xr:uid="{78EEB499-05CD-4E23-9053-494B1D6582B1}">
      <text>
        <r>
          <rPr>
            <sz val="11"/>
            <color theme="1"/>
            <rFont val="Calibri"/>
            <family val="2"/>
            <scheme val="minor"/>
          </rPr>
          <t>Seleccionar un valor del listado</t>
        </r>
      </text>
    </comment>
    <comment ref="D246" authorId="1" shapeId="0" xr:uid="{FC468ED9-8BE8-4E5E-A1D7-DCE2E9748CDA}">
      <text>
        <r>
          <rPr>
            <sz val="11"/>
            <color theme="1"/>
            <rFont val="Calibri"/>
            <family val="2"/>
            <scheme val="minor"/>
          </rPr>
          <t>Seleccione el tipo de procedimiento</t>
        </r>
      </text>
    </comment>
    <comment ref="E246" authorId="1" shapeId="0" xr:uid="{FB4C2E0A-3CDF-461F-A7AD-7FFD247251C6}">
      <text>
        <r>
          <rPr>
            <sz val="11"/>
            <color theme="1"/>
            <rFont val="Calibri"/>
            <family val="2"/>
            <scheme val="minor"/>
          </rPr>
          <t>Seleccione un valor de la lista</t>
        </r>
      </text>
    </comment>
    <comment ref="F246" authorId="1" shapeId="0" xr:uid="{E58F6D5B-3233-4136-9F48-BC6DE2D1B46E}">
      <text>
        <r>
          <rPr>
            <sz val="11"/>
            <color theme="1"/>
            <rFont val="Calibri"/>
            <family val="2"/>
            <scheme val="minor"/>
          </rPr>
          <t>Introduzca el código SNIP</t>
        </r>
      </text>
    </comment>
    <comment ref="C247" authorId="1" shapeId="0" xr:uid="{46FC79A0-F530-41C6-B8F0-2ACBBE1FD11D}">
      <text>
        <r>
          <rPr>
            <sz val="11"/>
            <color theme="1"/>
            <rFont val="Calibri"/>
            <family val="2"/>
            <scheme val="minor"/>
          </rPr>
          <t>Introduzca la fecha de inicio del proceso, en formato dd-mm-aaaa</t>
        </r>
      </text>
    </comment>
    <comment ref="F247" authorId="1" shapeId="0" xr:uid="{5C214C41-E32B-4193-8B86-9773F01AC7F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8" authorId="1" shapeId="0" xr:uid="{CA081C51-C575-4DB4-B73B-B3764528646F}">
      <text/>
    </comment>
    <comment ref="C249" authorId="1" shapeId="0" xr:uid="{69CA8C1D-E255-4D55-8475-8C177C6EEB70}">
      <text>
        <r>
          <rPr>
            <sz val="11"/>
            <color theme="1"/>
            <rFont val="Calibri"/>
            <family val="2"/>
            <scheme val="minor"/>
          </rPr>
          <t>Introduzca la fecha prevista de adjudicación, en formato dd-mm-aaaa</t>
        </r>
      </text>
    </comment>
    <comment ref="F249" authorId="1" shapeId="0" xr:uid="{E105BBEB-5B7B-4302-B669-4A01F391B53F}">
      <text/>
    </comment>
    <comment ref="F250" authorId="1" shapeId="0" xr:uid="{6BEBFBD4-7EF7-4D55-8FA7-AF300EE29596}">
      <text/>
    </comment>
    <comment ref="A252" authorId="1" shapeId="0" xr:uid="{064327A5-DD4B-4123-B582-06BA76EB4648}">
      <text>
        <r>
          <rPr>
            <sz val="11"/>
            <color theme="1"/>
            <rFont val="Calibri"/>
            <family val="2"/>
            <scheme val="minor"/>
          </rPr>
          <t>Introduzca un codigo UNSPSC</t>
        </r>
      </text>
    </comment>
    <comment ref="B252" authorId="1" shapeId="0" xr:uid="{9EDD174F-ADA7-4E98-AF72-1DCE805A1B52}">
      <text>
        <r>
          <rPr>
            <sz val="11"/>
            <color theme="1"/>
            <rFont val="Calibri"/>
            <family val="2"/>
            <scheme val="minor"/>
          </rPr>
          <t>Descripción calculada automáticamente a partir de código del artículo</t>
        </r>
      </text>
    </comment>
    <comment ref="C252" authorId="1" shapeId="0" xr:uid="{DE69A8DD-E982-4814-8D43-9014A534CB92}">
      <text>
        <r>
          <rPr>
            <sz val="11"/>
            <color theme="1"/>
            <rFont val="Calibri"/>
            <family val="2"/>
            <scheme val="minor"/>
          </rPr>
          <t>Seleccione un valor de la lista</t>
        </r>
      </text>
    </comment>
    <comment ref="D252" authorId="1" shapeId="0" xr:uid="{54EE4774-BEEA-4ACA-9DFA-8A1750215535}">
      <text>
        <r>
          <rPr>
            <sz val="11"/>
            <color theme="1"/>
            <rFont val="Calibri"/>
            <family val="2"/>
            <scheme val="minor"/>
          </rPr>
          <t>Introduzca un número con dos decimales como máximo. Debe ser igual o mayor a la "Cantidad Real Consumida"</t>
        </r>
      </text>
    </comment>
    <comment ref="E252" authorId="1" shapeId="0" xr:uid="{B5100D20-17B1-4598-9AD8-D0FE208C4060}">
      <text>
        <r>
          <rPr>
            <sz val="11"/>
            <color theme="1"/>
            <rFont val="Calibri"/>
            <family val="2"/>
            <scheme val="minor"/>
          </rPr>
          <t>Introduzca un número con dos decimales como máximo</t>
        </r>
      </text>
    </comment>
    <comment ref="F252" authorId="1" shapeId="0" xr:uid="{DF0C3835-ECC5-4D36-B78A-F0FCB43DED0F}">
      <text>
        <r>
          <rPr>
            <sz val="11"/>
            <color theme="1"/>
            <rFont val="Calibri"/>
            <family val="2"/>
            <scheme val="minor"/>
          </rPr>
          <t>Monto calculado automáticamente por el sistema</t>
        </r>
      </text>
    </comment>
    <comment ref="A258" authorId="1" shapeId="0" xr:uid="{A1233CCC-069E-4139-99CF-21800E4495F8}">
      <text>
        <r>
          <rPr>
            <sz val="11"/>
            <color theme="1"/>
            <rFont val="Calibri"/>
            <family val="2"/>
            <scheme val="minor"/>
          </rPr>
          <t>Introducir un texto con el nombre o referencia de la contratación</t>
        </r>
      </text>
    </comment>
    <comment ref="B258" authorId="1" shapeId="0" xr:uid="{3027E24C-C289-4185-B7C5-51A4CC8D3AF0}">
      <text>
        <r>
          <rPr>
            <sz val="11"/>
            <color theme="1"/>
            <rFont val="Calibri"/>
            <family val="2"/>
            <scheme val="minor"/>
          </rPr>
          <t>Introduzca un texto con la finalidad de la contratación</t>
        </r>
      </text>
    </comment>
    <comment ref="C258" authorId="1" shapeId="0" xr:uid="{E6FBCE25-D698-4F20-A53B-785F7A719FA0}">
      <text>
        <r>
          <rPr>
            <sz val="11"/>
            <color theme="1"/>
            <rFont val="Calibri"/>
            <family val="2"/>
            <scheme val="minor"/>
          </rPr>
          <t>Seleccionar un valor del listado</t>
        </r>
      </text>
    </comment>
    <comment ref="D258" authorId="1" shapeId="0" xr:uid="{BB03A3DB-0AEC-4758-90F8-974F4B76A647}">
      <text>
        <r>
          <rPr>
            <sz val="11"/>
            <color theme="1"/>
            <rFont val="Calibri"/>
            <family val="2"/>
            <scheme val="minor"/>
          </rPr>
          <t>Seleccione el tipo de procedimiento</t>
        </r>
      </text>
    </comment>
    <comment ref="E258" authorId="1" shapeId="0" xr:uid="{536888FE-05DD-4D6D-8270-5357E9A99103}">
      <text>
        <r>
          <rPr>
            <sz val="11"/>
            <color theme="1"/>
            <rFont val="Calibri"/>
            <family val="2"/>
            <scheme val="minor"/>
          </rPr>
          <t>Seleccione un valor de la lista</t>
        </r>
      </text>
    </comment>
    <comment ref="F258" authorId="1" shapeId="0" xr:uid="{0FB37226-EEBC-4AC9-BEC5-02C045D6666D}">
      <text>
        <r>
          <rPr>
            <sz val="11"/>
            <color theme="1"/>
            <rFont val="Calibri"/>
            <family val="2"/>
            <scheme val="minor"/>
          </rPr>
          <t>Introduzca el código SNIP</t>
        </r>
      </text>
    </comment>
    <comment ref="C259" authorId="1" shapeId="0" xr:uid="{C34EC616-15B8-4F57-BF02-4EC77DA8ED04}">
      <text>
        <r>
          <rPr>
            <sz val="11"/>
            <color theme="1"/>
            <rFont val="Calibri"/>
            <family val="2"/>
            <scheme val="minor"/>
          </rPr>
          <t>Introduzca la fecha de inicio del proceso, en formato dd-mm-aaaa</t>
        </r>
      </text>
    </comment>
    <comment ref="F259" authorId="1" shapeId="0" xr:uid="{AA53BC91-C41D-4916-B74A-6EDD1F174E2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0" authorId="1" shapeId="0" xr:uid="{920D1102-DE97-4195-87FB-0A8AC1479480}">
      <text/>
    </comment>
    <comment ref="C261" authorId="1" shapeId="0" xr:uid="{007912C8-6FA2-4F08-92C4-42124B3C7727}">
      <text>
        <r>
          <rPr>
            <sz val="11"/>
            <color theme="1"/>
            <rFont val="Calibri"/>
            <family val="2"/>
            <scheme val="minor"/>
          </rPr>
          <t>Introduzca la fecha prevista de adjudicación, en formato dd-mm-aaaa</t>
        </r>
      </text>
    </comment>
    <comment ref="F261" authorId="1" shapeId="0" xr:uid="{11AD07F1-F90F-4CD2-83AE-C076FCD7AE57}">
      <text/>
    </comment>
    <comment ref="F262" authorId="1" shapeId="0" xr:uid="{6A8B4E46-F7CA-4C84-B9AE-6C817399D1E6}">
      <text/>
    </comment>
    <comment ref="A264" authorId="1" shapeId="0" xr:uid="{DFFAC2C2-9509-49ED-AA0E-77633B09BBE5}">
      <text>
        <r>
          <rPr>
            <sz val="11"/>
            <color theme="1"/>
            <rFont val="Calibri"/>
            <family val="2"/>
            <scheme val="minor"/>
          </rPr>
          <t>Introduzca un codigo UNSPSC</t>
        </r>
      </text>
    </comment>
    <comment ref="B264" authorId="1" shapeId="0" xr:uid="{BDAEB8F3-FC1F-4B0F-BA66-82C69BB413E7}">
      <text>
        <r>
          <rPr>
            <sz val="11"/>
            <color theme="1"/>
            <rFont val="Calibri"/>
            <family val="2"/>
            <scheme val="minor"/>
          </rPr>
          <t>Descripción calculada automáticamente a partir de código del artículo</t>
        </r>
      </text>
    </comment>
    <comment ref="C264" authorId="1" shapeId="0" xr:uid="{8E06400C-737D-452A-906F-BE51D137AC08}">
      <text>
        <r>
          <rPr>
            <sz val="11"/>
            <color theme="1"/>
            <rFont val="Calibri"/>
            <family val="2"/>
            <scheme val="minor"/>
          </rPr>
          <t>Seleccione un valor de la lista</t>
        </r>
      </text>
    </comment>
    <comment ref="D264" authorId="1" shapeId="0" xr:uid="{1AF56AA0-8D5B-4B44-B422-31A19FC0D0D3}">
      <text>
        <r>
          <rPr>
            <sz val="11"/>
            <color theme="1"/>
            <rFont val="Calibri"/>
            <family val="2"/>
            <scheme val="minor"/>
          </rPr>
          <t>Introduzca un número con dos decimales como máximo. Debe ser igual o mayor a la "Cantidad Real Consumida"</t>
        </r>
      </text>
    </comment>
    <comment ref="E264" authorId="1" shapeId="0" xr:uid="{67C2CAAC-2AB7-4ED6-919B-3CA1DEE4791F}">
      <text>
        <r>
          <rPr>
            <sz val="11"/>
            <color theme="1"/>
            <rFont val="Calibri"/>
            <family val="2"/>
            <scheme val="minor"/>
          </rPr>
          <t>Introduzca un número con dos decimales como máximo</t>
        </r>
      </text>
    </comment>
    <comment ref="F264" authorId="1" shapeId="0" xr:uid="{E3A7C188-B57C-4E45-9F25-9CC9AA08AEB9}">
      <text>
        <r>
          <rPr>
            <sz val="11"/>
            <color theme="1"/>
            <rFont val="Calibri"/>
            <family val="2"/>
            <scheme val="minor"/>
          </rPr>
          <t>Monto calculado automáticamente por el sistema</t>
        </r>
      </text>
    </comment>
    <comment ref="A271" authorId="1" shapeId="0" xr:uid="{D8B35F40-CAD8-49E2-8AC0-7CA6BAFC6395}">
      <text>
        <r>
          <rPr>
            <sz val="11"/>
            <color theme="1"/>
            <rFont val="Calibri"/>
            <family val="2"/>
            <scheme val="minor"/>
          </rPr>
          <t>Introducir un texto con el nombre o referencia de la contratación</t>
        </r>
      </text>
    </comment>
    <comment ref="B271" authorId="1" shapeId="0" xr:uid="{C4262C70-9333-4C0E-BF03-B155E5A351A7}">
      <text>
        <r>
          <rPr>
            <sz val="11"/>
            <color theme="1"/>
            <rFont val="Calibri"/>
            <family val="2"/>
            <scheme val="minor"/>
          </rPr>
          <t>Introduzca un texto con la finalidad de la contratación</t>
        </r>
      </text>
    </comment>
    <comment ref="C271" authorId="1" shapeId="0" xr:uid="{3248698D-48DA-446F-A8D3-8FA96754D778}">
      <text>
        <r>
          <rPr>
            <sz val="11"/>
            <color theme="1"/>
            <rFont val="Calibri"/>
            <family val="2"/>
            <scheme val="minor"/>
          </rPr>
          <t>Seleccionar un valor del listado</t>
        </r>
      </text>
    </comment>
    <comment ref="D271" authorId="1" shapeId="0" xr:uid="{EB01F7C4-58D1-4C89-B600-EB41F2598102}">
      <text>
        <r>
          <rPr>
            <sz val="11"/>
            <color theme="1"/>
            <rFont val="Calibri"/>
            <family val="2"/>
            <scheme val="minor"/>
          </rPr>
          <t>Seleccione el tipo de procedimiento</t>
        </r>
      </text>
    </comment>
    <comment ref="E271" authorId="1" shapeId="0" xr:uid="{069BBEB3-9475-4FF2-A197-7473BBE419FD}">
      <text>
        <r>
          <rPr>
            <sz val="11"/>
            <color theme="1"/>
            <rFont val="Calibri"/>
            <family val="2"/>
            <scheme val="minor"/>
          </rPr>
          <t>Seleccione un valor de la lista</t>
        </r>
      </text>
    </comment>
    <comment ref="F271" authorId="1" shapeId="0" xr:uid="{2B19161E-AE7A-44F1-B673-E504ABBA8106}">
      <text>
        <r>
          <rPr>
            <sz val="11"/>
            <color theme="1"/>
            <rFont val="Calibri"/>
            <family val="2"/>
            <scheme val="minor"/>
          </rPr>
          <t>Introduzca el código SNIP</t>
        </r>
      </text>
    </comment>
    <comment ref="C272" authorId="1" shapeId="0" xr:uid="{9DEFF4B1-A128-45C0-8F2F-CF4E34F75BB5}">
      <text>
        <r>
          <rPr>
            <sz val="11"/>
            <color theme="1"/>
            <rFont val="Calibri"/>
            <family val="2"/>
            <scheme val="minor"/>
          </rPr>
          <t>Introduzca la fecha de inicio del proceso, en formato dd-mm-aaaa</t>
        </r>
      </text>
    </comment>
    <comment ref="F272" authorId="1" shapeId="0" xr:uid="{591CAEE1-6E48-4091-AEB0-EAE26D4FE3E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3" authorId="1" shapeId="0" xr:uid="{CB79DE12-7B37-45D7-96F8-776E6E5C22AE}">
      <text/>
    </comment>
    <comment ref="C274" authorId="1" shapeId="0" xr:uid="{4E0CC49A-8013-4459-9C53-A94E90602942}">
      <text>
        <r>
          <rPr>
            <sz val="11"/>
            <color theme="1"/>
            <rFont val="Calibri"/>
            <family val="2"/>
            <scheme val="minor"/>
          </rPr>
          <t>Introduzca la fecha prevista de adjudicación, en formato dd-mm-aaaa</t>
        </r>
      </text>
    </comment>
    <comment ref="F274" authorId="1" shapeId="0" xr:uid="{C71EBB02-3EDE-45AF-8249-5BFD6EF30F83}">
      <text/>
    </comment>
    <comment ref="F275" authorId="1" shapeId="0" xr:uid="{315568C5-672B-451C-886E-B06DA91D8A69}">
      <text/>
    </comment>
    <comment ref="A277" authorId="1" shapeId="0" xr:uid="{DDD65762-09D9-400D-8781-9794A94CA9EA}">
      <text>
        <r>
          <rPr>
            <sz val="11"/>
            <color theme="1"/>
            <rFont val="Calibri"/>
            <family val="2"/>
            <scheme val="minor"/>
          </rPr>
          <t>Introduzca un codigo UNSPSC</t>
        </r>
      </text>
    </comment>
    <comment ref="B277" authorId="1" shapeId="0" xr:uid="{849AA86C-4DC3-4F00-BE08-878684965D35}">
      <text>
        <r>
          <rPr>
            <sz val="11"/>
            <color theme="1"/>
            <rFont val="Calibri"/>
            <family val="2"/>
            <scheme val="minor"/>
          </rPr>
          <t>Descripción calculada automáticamente a partir de código del artículo</t>
        </r>
      </text>
    </comment>
    <comment ref="C277" authorId="1" shapeId="0" xr:uid="{4812B51D-2897-4BB9-8E69-751AF961E686}">
      <text>
        <r>
          <rPr>
            <sz val="11"/>
            <color theme="1"/>
            <rFont val="Calibri"/>
            <family val="2"/>
            <scheme val="minor"/>
          </rPr>
          <t>Seleccione un valor de la lista</t>
        </r>
      </text>
    </comment>
    <comment ref="D277" authorId="1" shapeId="0" xr:uid="{BD610555-0DFD-4E5C-993A-C9A5F82F2447}">
      <text>
        <r>
          <rPr>
            <sz val="11"/>
            <color theme="1"/>
            <rFont val="Calibri"/>
            <family val="2"/>
            <scheme val="minor"/>
          </rPr>
          <t>Introduzca un número con dos decimales como máximo. Debe ser igual o mayor a la "Cantidad Real Consumida"</t>
        </r>
      </text>
    </comment>
    <comment ref="E277" authorId="1" shapeId="0" xr:uid="{85B8E35A-B70B-43C6-A27A-B90F90B88324}">
      <text>
        <r>
          <rPr>
            <sz val="11"/>
            <color theme="1"/>
            <rFont val="Calibri"/>
            <family val="2"/>
            <scheme val="minor"/>
          </rPr>
          <t>Introduzca un número con dos decimales como máximo</t>
        </r>
      </text>
    </comment>
    <comment ref="F277" authorId="1" shapeId="0" xr:uid="{A7B3A7B0-273E-4A7B-AC42-B866C1BB9EF0}">
      <text>
        <r>
          <rPr>
            <sz val="11"/>
            <color theme="1"/>
            <rFont val="Calibri"/>
            <family val="2"/>
            <scheme val="minor"/>
          </rPr>
          <t>Monto calculado automáticamente por el sistema</t>
        </r>
      </text>
    </comment>
    <comment ref="A285" authorId="1" shapeId="0" xr:uid="{C693FFCF-6E12-4AEA-B44F-28676AB2641B}">
      <text>
        <r>
          <rPr>
            <sz val="11"/>
            <color theme="1"/>
            <rFont val="Calibri"/>
            <family val="2"/>
            <scheme val="minor"/>
          </rPr>
          <t>Introducir un texto con el nombre o referencia de la contratación</t>
        </r>
      </text>
    </comment>
    <comment ref="B285" authorId="1" shapeId="0" xr:uid="{4B17A8C5-8EF3-4592-9E78-C67232220975}">
      <text>
        <r>
          <rPr>
            <sz val="11"/>
            <color theme="1"/>
            <rFont val="Calibri"/>
            <family val="2"/>
            <scheme val="minor"/>
          </rPr>
          <t>Introduzca un texto con la finalidad de la contratación</t>
        </r>
      </text>
    </comment>
    <comment ref="C285" authorId="1" shapeId="0" xr:uid="{90B94A07-5E6B-4DAF-B973-6F307F0993F3}">
      <text>
        <r>
          <rPr>
            <sz val="11"/>
            <color theme="1"/>
            <rFont val="Calibri"/>
            <family val="2"/>
            <scheme val="minor"/>
          </rPr>
          <t>Seleccionar un valor del listado</t>
        </r>
      </text>
    </comment>
    <comment ref="D285" authorId="1" shapeId="0" xr:uid="{3B6BAA96-6465-48D9-9424-FB9B9487D181}">
      <text>
        <r>
          <rPr>
            <sz val="11"/>
            <color theme="1"/>
            <rFont val="Calibri"/>
            <family val="2"/>
            <scheme val="minor"/>
          </rPr>
          <t>Seleccione el tipo de procedimiento</t>
        </r>
      </text>
    </comment>
    <comment ref="E285" authorId="1" shapeId="0" xr:uid="{BCC65B3C-10B6-4605-8846-28EE13306A32}">
      <text>
        <r>
          <rPr>
            <sz val="11"/>
            <color theme="1"/>
            <rFont val="Calibri"/>
            <family val="2"/>
            <scheme val="minor"/>
          </rPr>
          <t>Seleccione un valor de la lista</t>
        </r>
      </text>
    </comment>
    <comment ref="F285" authorId="1" shapeId="0" xr:uid="{5D82ABCB-0BDE-4547-AB64-8482241711E9}">
      <text>
        <r>
          <rPr>
            <sz val="11"/>
            <color theme="1"/>
            <rFont val="Calibri"/>
            <family val="2"/>
            <scheme val="minor"/>
          </rPr>
          <t>Introduzca el código SNIP</t>
        </r>
      </text>
    </comment>
    <comment ref="C286" authorId="1" shapeId="0" xr:uid="{989A5262-E3F2-451A-962E-15702D91E87D}">
      <text>
        <r>
          <rPr>
            <sz val="11"/>
            <color theme="1"/>
            <rFont val="Calibri"/>
            <family val="2"/>
            <scheme val="minor"/>
          </rPr>
          <t>Introduzca la fecha de inicio del proceso, en formato dd-mm-aaaa</t>
        </r>
      </text>
    </comment>
    <comment ref="F286" authorId="1" shapeId="0" xr:uid="{F7A58204-1A96-4225-9011-BCAD3DFD484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7" authorId="1" shapeId="0" xr:uid="{30BB6B48-2F3A-44F2-AD37-7EB36D7E6B31}">
      <text/>
    </comment>
    <comment ref="C288" authorId="1" shapeId="0" xr:uid="{48983492-45E2-40B1-BECD-4D89C5D090DA}">
      <text>
        <r>
          <rPr>
            <sz val="11"/>
            <color theme="1"/>
            <rFont val="Calibri"/>
            <family val="2"/>
            <scheme val="minor"/>
          </rPr>
          <t>Introduzca la fecha prevista de adjudicación, en formato dd-mm-aaaa</t>
        </r>
      </text>
    </comment>
    <comment ref="F288" authorId="1" shapeId="0" xr:uid="{9431B5D4-87D8-4C23-A36C-7156419DCA06}">
      <text/>
    </comment>
    <comment ref="F289" authorId="1" shapeId="0" xr:uid="{7E2F1CB5-D681-4435-989E-19A67A06623A}">
      <text/>
    </comment>
    <comment ref="A291" authorId="1" shapeId="0" xr:uid="{EA4402E9-EA07-4C59-89DA-121571CB2AB3}">
      <text>
        <r>
          <rPr>
            <sz val="11"/>
            <color theme="1"/>
            <rFont val="Calibri"/>
            <family val="2"/>
            <scheme val="minor"/>
          </rPr>
          <t>Introduzca un codigo UNSPSC</t>
        </r>
      </text>
    </comment>
    <comment ref="B291" authorId="1" shapeId="0" xr:uid="{AD58094B-9F1B-4F74-AF67-151A1A178644}">
      <text>
        <r>
          <rPr>
            <sz val="11"/>
            <color theme="1"/>
            <rFont val="Calibri"/>
            <family val="2"/>
            <scheme val="minor"/>
          </rPr>
          <t>Descripción calculada automáticamente a partir de código del artículo</t>
        </r>
      </text>
    </comment>
    <comment ref="C291" authorId="1" shapeId="0" xr:uid="{A1C63AE0-FA00-4281-83BA-1E7881E8DE2B}">
      <text>
        <r>
          <rPr>
            <sz val="11"/>
            <color theme="1"/>
            <rFont val="Calibri"/>
            <family val="2"/>
            <scheme val="minor"/>
          </rPr>
          <t>Seleccione un valor de la lista</t>
        </r>
      </text>
    </comment>
    <comment ref="D291" authorId="1" shapeId="0" xr:uid="{91AED868-5E1E-4F44-9312-873A37CB561C}">
      <text>
        <r>
          <rPr>
            <sz val="11"/>
            <color theme="1"/>
            <rFont val="Calibri"/>
            <family val="2"/>
            <scheme val="minor"/>
          </rPr>
          <t>Introduzca un número con dos decimales como máximo. Debe ser igual o mayor a la "Cantidad Real Consumida"</t>
        </r>
      </text>
    </comment>
    <comment ref="E291" authorId="1" shapeId="0" xr:uid="{BFF33E02-A557-41D3-BB59-C2C961854A33}">
      <text>
        <r>
          <rPr>
            <sz val="11"/>
            <color theme="1"/>
            <rFont val="Calibri"/>
            <family val="2"/>
            <scheme val="minor"/>
          </rPr>
          <t>Introduzca un número con dos decimales como máximo</t>
        </r>
      </text>
    </comment>
    <comment ref="F291" authorId="1" shapeId="0" xr:uid="{D87B9330-41B1-4F44-933A-54D50DB83D8E}">
      <text>
        <r>
          <rPr>
            <sz val="11"/>
            <color theme="1"/>
            <rFont val="Calibri"/>
            <family val="2"/>
            <scheme val="minor"/>
          </rPr>
          <t>Monto calculado automáticamente por el sistema</t>
        </r>
      </text>
    </comment>
    <comment ref="A296" authorId="1" shapeId="0" xr:uid="{9E24CA8E-552F-447C-AFD4-048013B6D603}">
      <text>
        <r>
          <rPr>
            <sz val="11"/>
            <color theme="1"/>
            <rFont val="Calibri"/>
            <family val="2"/>
            <scheme val="minor"/>
          </rPr>
          <t>Introducir un texto con el nombre o referencia de la contratación</t>
        </r>
      </text>
    </comment>
    <comment ref="B296" authorId="1" shapeId="0" xr:uid="{874C3DAB-6923-45F7-91CC-B9C53B04154D}">
      <text>
        <r>
          <rPr>
            <sz val="11"/>
            <color theme="1"/>
            <rFont val="Calibri"/>
            <family val="2"/>
            <scheme val="minor"/>
          </rPr>
          <t>Introduzca un texto con la finalidad de la contratación</t>
        </r>
      </text>
    </comment>
    <comment ref="C296" authorId="1" shapeId="0" xr:uid="{19159207-2828-4DE3-8BEA-2591D1C7E60A}">
      <text>
        <r>
          <rPr>
            <sz val="11"/>
            <color theme="1"/>
            <rFont val="Calibri"/>
            <family val="2"/>
            <scheme val="minor"/>
          </rPr>
          <t>Seleccionar un valor del listado</t>
        </r>
      </text>
    </comment>
    <comment ref="D296" authorId="1" shapeId="0" xr:uid="{C241D265-FC57-4ED8-A81C-790C68178779}">
      <text>
        <r>
          <rPr>
            <sz val="11"/>
            <color theme="1"/>
            <rFont val="Calibri"/>
            <family val="2"/>
            <scheme val="minor"/>
          </rPr>
          <t>Seleccione el tipo de procedimiento</t>
        </r>
      </text>
    </comment>
    <comment ref="E296" authorId="1" shapeId="0" xr:uid="{29E3F1CB-192D-4DD0-9976-68BF712D61FB}">
      <text>
        <r>
          <rPr>
            <sz val="11"/>
            <color theme="1"/>
            <rFont val="Calibri"/>
            <family val="2"/>
            <scheme val="minor"/>
          </rPr>
          <t>Seleccione un valor de la lista</t>
        </r>
      </text>
    </comment>
    <comment ref="F296" authorId="1" shapeId="0" xr:uid="{7D3A94F1-8C71-416A-96D5-DC69A545DFAD}">
      <text>
        <r>
          <rPr>
            <sz val="11"/>
            <color theme="1"/>
            <rFont val="Calibri"/>
            <family val="2"/>
            <scheme val="minor"/>
          </rPr>
          <t>Introduzca el código SNIP</t>
        </r>
      </text>
    </comment>
    <comment ref="C297" authorId="1" shapeId="0" xr:uid="{2DC23602-1697-4D83-B18C-2E843849B5B9}">
      <text>
        <r>
          <rPr>
            <sz val="11"/>
            <color theme="1"/>
            <rFont val="Calibri"/>
            <family val="2"/>
            <scheme val="minor"/>
          </rPr>
          <t>Introduzca la fecha de inicio del proceso, en formato dd-mm-aaaa</t>
        </r>
      </text>
    </comment>
    <comment ref="F297" authorId="1" shapeId="0" xr:uid="{606ED851-047D-4E0B-81B0-7CCB0C93D2D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8" authorId="1" shapeId="0" xr:uid="{62D379FC-0B8C-4B7F-B065-BACE6F4BBA79}">
      <text/>
    </comment>
    <comment ref="C299" authorId="1" shapeId="0" xr:uid="{CFF4CE3F-E76C-48D2-B635-B279A3EDE6AE}">
      <text>
        <r>
          <rPr>
            <sz val="11"/>
            <color theme="1"/>
            <rFont val="Calibri"/>
            <family val="2"/>
            <scheme val="minor"/>
          </rPr>
          <t>Introduzca la fecha prevista de adjudicación, en formato dd-mm-aaaa</t>
        </r>
      </text>
    </comment>
    <comment ref="F299" authorId="1" shapeId="0" xr:uid="{A3728445-D3F3-487E-B706-21294C30BB3C}">
      <text/>
    </comment>
    <comment ref="F300" authorId="1" shapeId="0" xr:uid="{BDD9A810-B019-4104-8441-C71A1F8C8230}">
      <text/>
    </comment>
    <comment ref="A302" authorId="1" shapeId="0" xr:uid="{2C106D63-B408-4A7B-9E2E-E5675511E2D6}">
      <text>
        <r>
          <rPr>
            <sz val="11"/>
            <color theme="1"/>
            <rFont val="Calibri"/>
            <family val="2"/>
            <scheme val="minor"/>
          </rPr>
          <t>Introduzca un codigo UNSPSC</t>
        </r>
      </text>
    </comment>
    <comment ref="B302" authorId="1" shapeId="0" xr:uid="{57EA8B49-C388-4F79-8DD1-3057E0D277B2}">
      <text>
        <r>
          <rPr>
            <sz val="11"/>
            <color theme="1"/>
            <rFont val="Calibri"/>
            <family val="2"/>
            <scheme val="minor"/>
          </rPr>
          <t>Descripción calculada automáticamente a partir de código del artículo</t>
        </r>
      </text>
    </comment>
    <comment ref="C302" authorId="1" shapeId="0" xr:uid="{13914DBD-F40D-4A50-8945-F7CD3B5A689F}">
      <text>
        <r>
          <rPr>
            <sz val="11"/>
            <color theme="1"/>
            <rFont val="Calibri"/>
            <family val="2"/>
            <scheme val="minor"/>
          </rPr>
          <t>Seleccione un valor de la lista</t>
        </r>
      </text>
    </comment>
    <comment ref="D302" authorId="1" shapeId="0" xr:uid="{2B5DCE82-94BB-480F-BA4D-E4F6E62F7C7C}">
      <text>
        <r>
          <rPr>
            <sz val="11"/>
            <color theme="1"/>
            <rFont val="Calibri"/>
            <family val="2"/>
            <scheme val="minor"/>
          </rPr>
          <t>Introduzca un número con dos decimales como máximo. Debe ser igual o mayor a la "Cantidad Real Consumida"</t>
        </r>
      </text>
    </comment>
    <comment ref="E302" authorId="1" shapeId="0" xr:uid="{B9AD4707-4025-4D81-8FBF-0511EE3A975D}">
      <text>
        <r>
          <rPr>
            <sz val="11"/>
            <color theme="1"/>
            <rFont val="Calibri"/>
            <family val="2"/>
            <scheme val="minor"/>
          </rPr>
          <t>Introduzca un número con dos decimales como máximo</t>
        </r>
      </text>
    </comment>
    <comment ref="F302" authorId="1" shapeId="0" xr:uid="{4D0EBDA2-97FF-4080-AC95-F4856323CD08}">
      <text>
        <r>
          <rPr>
            <sz val="11"/>
            <color theme="1"/>
            <rFont val="Calibri"/>
            <family val="2"/>
            <scheme val="minor"/>
          </rPr>
          <t>Monto calculado automáticamente por el sistema</t>
        </r>
      </text>
    </comment>
    <comment ref="A315" authorId="1" shapeId="0" xr:uid="{ED71651D-B417-4CBD-9F62-F53ECC432EB9}">
      <text>
        <r>
          <rPr>
            <sz val="11"/>
            <color theme="1"/>
            <rFont val="Calibri"/>
            <family val="2"/>
            <scheme val="minor"/>
          </rPr>
          <t>Introducir un texto con el nombre o referencia de la contratación</t>
        </r>
      </text>
    </comment>
    <comment ref="B315" authorId="1" shapeId="0" xr:uid="{A0D841E5-B4ED-4B60-A867-867071D82D83}">
      <text>
        <r>
          <rPr>
            <sz val="11"/>
            <color theme="1"/>
            <rFont val="Calibri"/>
            <family val="2"/>
            <scheme val="minor"/>
          </rPr>
          <t>Introduzca un texto con la finalidad de la contratación</t>
        </r>
      </text>
    </comment>
    <comment ref="C315" authorId="1" shapeId="0" xr:uid="{2FA02A3C-8893-47B1-909C-616E8C358186}">
      <text>
        <r>
          <rPr>
            <sz val="11"/>
            <color theme="1"/>
            <rFont val="Calibri"/>
            <family val="2"/>
            <scheme val="minor"/>
          </rPr>
          <t>Seleccionar un valor del listado</t>
        </r>
      </text>
    </comment>
    <comment ref="D315" authorId="1" shapeId="0" xr:uid="{A4AA5044-1E7F-4240-8DFD-D61EA7EE946C}">
      <text>
        <r>
          <rPr>
            <sz val="11"/>
            <color theme="1"/>
            <rFont val="Calibri"/>
            <family val="2"/>
            <scheme val="minor"/>
          </rPr>
          <t>Seleccione el tipo de procedimiento</t>
        </r>
      </text>
    </comment>
    <comment ref="E315" authorId="1" shapeId="0" xr:uid="{1128615A-AC7C-42B3-BD68-03BCB5375B79}">
      <text>
        <r>
          <rPr>
            <sz val="11"/>
            <color theme="1"/>
            <rFont val="Calibri"/>
            <family val="2"/>
            <scheme val="minor"/>
          </rPr>
          <t>Seleccione un valor de la lista</t>
        </r>
      </text>
    </comment>
    <comment ref="F315" authorId="1" shapeId="0" xr:uid="{1798FECC-26DF-4604-92BA-0FF05D00D518}">
      <text>
        <r>
          <rPr>
            <sz val="11"/>
            <color theme="1"/>
            <rFont val="Calibri"/>
            <family val="2"/>
            <scheme val="minor"/>
          </rPr>
          <t>Introduzca el código SNIP</t>
        </r>
      </text>
    </comment>
    <comment ref="C316" authorId="1" shapeId="0" xr:uid="{E95CE6D7-A8D5-44C5-8116-C559EBF49065}">
      <text>
        <r>
          <rPr>
            <sz val="11"/>
            <color theme="1"/>
            <rFont val="Calibri"/>
            <family val="2"/>
            <scheme val="minor"/>
          </rPr>
          <t>Introduzca la fecha de inicio del proceso, en formato dd-mm-aaaa</t>
        </r>
      </text>
    </comment>
    <comment ref="F316" authorId="1" shapeId="0" xr:uid="{2B2FE5D7-7D43-4AD6-A793-EF9AEDC980E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7" authorId="1" shapeId="0" xr:uid="{05F23160-02C1-4993-9E6D-EFA7748BA9D5}">
      <text/>
    </comment>
    <comment ref="C318" authorId="1" shapeId="0" xr:uid="{CDF0D413-168D-4249-9528-24D96C96A109}">
      <text>
        <r>
          <rPr>
            <sz val="11"/>
            <color theme="1"/>
            <rFont val="Calibri"/>
            <family val="2"/>
            <scheme val="minor"/>
          </rPr>
          <t>Introduzca la fecha prevista de adjudicación, en formato dd-mm-aaaa</t>
        </r>
      </text>
    </comment>
    <comment ref="F318" authorId="1" shapeId="0" xr:uid="{A6534908-F453-4610-9DDD-D1FDEE0D7373}">
      <text/>
    </comment>
    <comment ref="F319" authorId="1" shapeId="0" xr:uid="{6A2CBCFC-29FA-4145-8C3B-1A9548089899}">
      <text/>
    </comment>
    <comment ref="A321" authorId="1" shapeId="0" xr:uid="{7F09030B-B945-4E17-B702-418D8CAF4A95}">
      <text>
        <r>
          <rPr>
            <sz val="11"/>
            <color theme="1"/>
            <rFont val="Calibri"/>
            <family val="2"/>
            <scheme val="minor"/>
          </rPr>
          <t>Introduzca un codigo UNSPSC</t>
        </r>
      </text>
    </comment>
    <comment ref="B321" authorId="1" shapeId="0" xr:uid="{8DC2DFFB-AA63-4C8E-A138-352FD98CA65B}">
      <text>
        <r>
          <rPr>
            <sz val="11"/>
            <color theme="1"/>
            <rFont val="Calibri"/>
            <family val="2"/>
            <scheme val="minor"/>
          </rPr>
          <t>Descripción calculada automáticamente a partir de código del artículo</t>
        </r>
      </text>
    </comment>
    <comment ref="C321" authorId="1" shapeId="0" xr:uid="{2895AC70-EAD8-480E-B823-6F7456708ED4}">
      <text>
        <r>
          <rPr>
            <sz val="11"/>
            <color theme="1"/>
            <rFont val="Calibri"/>
            <family val="2"/>
            <scheme val="minor"/>
          </rPr>
          <t>Seleccione un valor de la lista</t>
        </r>
      </text>
    </comment>
    <comment ref="D321" authorId="1" shapeId="0" xr:uid="{0EE4098B-7D12-47DB-9743-E4F7E93E785B}">
      <text>
        <r>
          <rPr>
            <sz val="11"/>
            <color theme="1"/>
            <rFont val="Calibri"/>
            <family val="2"/>
            <scheme val="minor"/>
          </rPr>
          <t>Introduzca un número con dos decimales como máximo. Debe ser igual o mayor a la "Cantidad Real Consumida"</t>
        </r>
      </text>
    </comment>
    <comment ref="E321" authorId="1" shapeId="0" xr:uid="{5C80D8B9-5219-4ADD-BD63-9EE022C20ED5}">
      <text>
        <r>
          <rPr>
            <sz val="11"/>
            <color theme="1"/>
            <rFont val="Calibri"/>
            <family val="2"/>
            <scheme val="minor"/>
          </rPr>
          <t>Introduzca un número con dos decimales como máximo</t>
        </r>
      </text>
    </comment>
    <comment ref="F321" authorId="1" shapeId="0" xr:uid="{4CC0595E-6F1A-4AAF-8F57-F511BA32DC91}">
      <text>
        <r>
          <rPr>
            <sz val="11"/>
            <color theme="1"/>
            <rFont val="Calibri"/>
            <family val="2"/>
            <scheme val="minor"/>
          </rPr>
          <t>Monto calculado automáticamente por el sistema</t>
        </r>
      </text>
    </comment>
    <comment ref="A334" authorId="1" shapeId="0" xr:uid="{2B3C3BF9-AF27-4B32-A333-5D879C693E7B}">
      <text>
        <r>
          <rPr>
            <sz val="11"/>
            <color theme="1"/>
            <rFont val="Calibri"/>
            <family val="2"/>
            <scheme val="minor"/>
          </rPr>
          <t>Introducir un texto con el nombre o referencia de la contratación</t>
        </r>
      </text>
    </comment>
    <comment ref="B334" authorId="1" shapeId="0" xr:uid="{FB7E8C11-F46E-428B-8EB2-53B5840746B9}">
      <text>
        <r>
          <rPr>
            <sz val="11"/>
            <color theme="1"/>
            <rFont val="Calibri"/>
            <family val="2"/>
            <scheme val="minor"/>
          </rPr>
          <t>Introduzca un texto con la finalidad de la contratación</t>
        </r>
      </text>
    </comment>
    <comment ref="C334" authorId="1" shapeId="0" xr:uid="{027BB108-2623-4261-BD62-D5C84DCC5A65}">
      <text>
        <r>
          <rPr>
            <sz val="11"/>
            <color theme="1"/>
            <rFont val="Calibri"/>
            <family val="2"/>
            <scheme val="minor"/>
          </rPr>
          <t>Seleccionar un valor del listado</t>
        </r>
      </text>
    </comment>
    <comment ref="D334" authorId="1" shapeId="0" xr:uid="{83C6AD2F-28ED-4456-A852-62BBEC03544B}">
      <text>
        <r>
          <rPr>
            <sz val="11"/>
            <color theme="1"/>
            <rFont val="Calibri"/>
            <family val="2"/>
            <scheme val="minor"/>
          </rPr>
          <t>Seleccione el tipo de procedimiento</t>
        </r>
      </text>
    </comment>
    <comment ref="E334" authorId="1" shapeId="0" xr:uid="{0794F0DE-9575-47AD-8DED-F0251BED7564}">
      <text>
        <r>
          <rPr>
            <sz val="11"/>
            <color theme="1"/>
            <rFont val="Calibri"/>
            <family val="2"/>
            <scheme val="minor"/>
          </rPr>
          <t>Seleccione un valor de la lista</t>
        </r>
      </text>
    </comment>
    <comment ref="F334" authorId="1" shapeId="0" xr:uid="{96AAFF44-018B-4B75-8CB8-DEB19C687C1C}">
      <text>
        <r>
          <rPr>
            <sz val="11"/>
            <color theme="1"/>
            <rFont val="Calibri"/>
            <family val="2"/>
            <scheme val="minor"/>
          </rPr>
          <t>Introduzca el código SNIP</t>
        </r>
      </text>
    </comment>
    <comment ref="C335" authorId="1" shapeId="0" xr:uid="{E4137FB6-E300-4056-9071-E463785779D4}">
      <text>
        <r>
          <rPr>
            <sz val="11"/>
            <color theme="1"/>
            <rFont val="Calibri"/>
            <family val="2"/>
            <scheme val="minor"/>
          </rPr>
          <t>Introduzca la fecha de inicio del proceso, en formato dd-mm-aaaa</t>
        </r>
      </text>
    </comment>
    <comment ref="F335" authorId="1" shapeId="0" xr:uid="{0CE479E2-BD6B-44F9-87C7-80B9655AB89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6" authorId="1" shapeId="0" xr:uid="{E3BCF7DA-182A-4F00-99D6-7DA2AD151891}">
      <text/>
    </comment>
    <comment ref="C337" authorId="1" shapeId="0" xr:uid="{1094C75E-3D7A-45E2-91A0-073707518CCC}">
      <text>
        <r>
          <rPr>
            <sz val="11"/>
            <color theme="1"/>
            <rFont val="Calibri"/>
            <family val="2"/>
            <scheme val="minor"/>
          </rPr>
          <t>Introduzca la fecha prevista de adjudicación, en formato dd-mm-aaaa</t>
        </r>
      </text>
    </comment>
    <comment ref="F337" authorId="1" shapeId="0" xr:uid="{2C4F5708-DEA3-4401-BDE9-02A26512FE12}">
      <text/>
    </comment>
    <comment ref="F338" authorId="1" shapeId="0" xr:uid="{E7E18D79-3CEA-498D-BE28-6E740021E2A6}">
      <text/>
    </comment>
    <comment ref="A340" authorId="1" shapeId="0" xr:uid="{A4CD8C3B-15B4-4AFA-A00C-CEF822A2D4B2}">
      <text>
        <r>
          <rPr>
            <sz val="11"/>
            <color theme="1"/>
            <rFont val="Calibri"/>
            <family val="2"/>
            <scheme val="minor"/>
          </rPr>
          <t>Introduzca un codigo UNSPSC</t>
        </r>
      </text>
    </comment>
    <comment ref="B340" authorId="1" shapeId="0" xr:uid="{E6DA7042-E298-4AC2-AF41-57AE7C918F43}">
      <text>
        <r>
          <rPr>
            <sz val="11"/>
            <color theme="1"/>
            <rFont val="Calibri"/>
            <family val="2"/>
            <scheme val="minor"/>
          </rPr>
          <t>Descripción calculada automáticamente a partir de código del artículo</t>
        </r>
      </text>
    </comment>
    <comment ref="C340" authorId="1" shapeId="0" xr:uid="{309B7CA7-9B4E-46FE-85C9-BFA5117FE46F}">
      <text>
        <r>
          <rPr>
            <sz val="11"/>
            <color theme="1"/>
            <rFont val="Calibri"/>
            <family val="2"/>
            <scheme val="minor"/>
          </rPr>
          <t>Seleccione un valor de la lista</t>
        </r>
      </text>
    </comment>
    <comment ref="D340" authorId="1" shapeId="0" xr:uid="{62C57CAD-27B2-4F94-B448-0D8C1DE6DE6C}">
      <text>
        <r>
          <rPr>
            <sz val="11"/>
            <color theme="1"/>
            <rFont val="Calibri"/>
            <family val="2"/>
            <scheme val="minor"/>
          </rPr>
          <t>Introduzca un número con dos decimales como máximo. Debe ser igual o mayor a la "Cantidad Real Consumida"</t>
        </r>
      </text>
    </comment>
    <comment ref="E340" authorId="1" shapeId="0" xr:uid="{F39ED81A-A783-450D-8DEE-328F4A0BC585}">
      <text>
        <r>
          <rPr>
            <sz val="11"/>
            <color theme="1"/>
            <rFont val="Calibri"/>
            <family val="2"/>
            <scheme val="minor"/>
          </rPr>
          <t>Introduzca un número con dos decimales como máximo</t>
        </r>
      </text>
    </comment>
    <comment ref="F340" authorId="1" shapeId="0" xr:uid="{63217EB4-EE6B-43F5-A437-8004EF6E6ADC}">
      <text>
        <r>
          <rPr>
            <sz val="11"/>
            <color theme="1"/>
            <rFont val="Calibri"/>
            <family val="2"/>
            <scheme val="minor"/>
          </rPr>
          <t>Monto calculado automáticamente por el sistema</t>
        </r>
      </text>
    </comment>
    <comment ref="A351" authorId="1" shapeId="0" xr:uid="{ED01202D-437E-47AC-8547-5CADC920DFF0}">
      <text>
        <r>
          <rPr>
            <sz val="11"/>
            <color theme="1"/>
            <rFont val="Calibri"/>
            <family val="2"/>
            <scheme val="minor"/>
          </rPr>
          <t>Introducir un texto con el nombre o referencia de la contratación</t>
        </r>
      </text>
    </comment>
    <comment ref="B351" authorId="1" shapeId="0" xr:uid="{80E734E0-58D6-4A13-8350-3FA0AAB3F9BB}">
      <text>
        <r>
          <rPr>
            <sz val="11"/>
            <color theme="1"/>
            <rFont val="Calibri"/>
            <family val="2"/>
            <scheme val="minor"/>
          </rPr>
          <t>Introduzca un texto con la finalidad de la contratación</t>
        </r>
      </text>
    </comment>
    <comment ref="C351" authorId="1" shapeId="0" xr:uid="{1994205A-414A-406D-B73D-8D98D93EB633}">
      <text>
        <r>
          <rPr>
            <sz val="11"/>
            <color theme="1"/>
            <rFont val="Calibri"/>
            <family val="2"/>
            <scheme val="minor"/>
          </rPr>
          <t>Seleccionar un valor del listado</t>
        </r>
      </text>
    </comment>
    <comment ref="D351" authorId="1" shapeId="0" xr:uid="{E3DF94C7-2A52-4015-AEE2-82551BC5F3C5}">
      <text>
        <r>
          <rPr>
            <sz val="11"/>
            <color theme="1"/>
            <rFont val="Calibri"/>
            <family val="2"/>
            <scheme val="minor"/>
          </rPr>
          <t>Seleccione el tipo de procedimiento</t>
        </r>
      </text>
    </comment>
    <comment ref="E351" authorId="1" shapeId="0" xr:uid="{109C8F93-040B-4C97-AB64-76999F46F619}">
      <text>
        <r>
          <rPr>
            <sz val="11"/>
            <color theme="1"/>
            <rFont val="Calibri"/>
            <family val="2"/>
            <scheme val="minor"/>
          </rPr>
          <t>Seleccione un valor de la lista</t>
        </r>
      </text>
    </comment>
    <comment ref="F351" authorId="1" shapeId="0" xr:uid="{CA7570E7-70CE-4B83-9520-79EDC145370C}">
      <text>
        <r>
          <rPr>
            <sz val="11"/>
            <color theme="1"/>
            <rFont val="Calibri"/>
            <family val="2"/>
            <scheme val="minor"/>
          </rPr>
          <t>Introduzca el código SNIP</t>
        </r>
      </text>
    </comment>
    <comment ref="C352" authorId="1" shapeId="0" xr:uid="{5EF9EB5C-109C-4F5A-83F9-3834D2C7CE8E}">
      <text>
        <r>
          <rPr>
            <sz val="11"/>
            <color theme="1"/>
            <rFont val="Calibri"/>
            <family val="2"/>
            <scheme val="minor"/>
          </rPr>
          <t>Introduzca la fecha de inicio del proceso, en formato dd-mm-aaaa</t>
        </r>
      </text>
    </comment>
    <comment ref="F352" authorId="1" shapeId="0" xr:uid="{B17ACC56-BD8C-4018-8CC6-9D7E8259FFB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3" authorId="1" shapeId="0" xr:uid="{CB5234AC-A297-4956-81F3-5D03A5A31284}">
      <text/>
    </comment>
    <comment ref="C354" authorId="1" shapeId="0" xr:uid="{C8A23716-BD95-4DAB-B35B-0DEAEB74BB04}">
      <text>
        <r>
          <rPr>
            <sz val="11"/>
            <color theme="1"/>
            <rFont val="Calibri"/>
            <family val="2"/>
            <scheme val="minor"/>
          </rPr>
          <t>Introduzca la fecha prevista de adjudicación, en formato dd-mm-aaaa</t>
        </r>
      </text>
    </comment>
    <comment ref="F354" authorId="1" shapeId="0" xr:uid="{D60F2EF9-C678-45B0-8A31-05652E5CD1A3}">
      <text/>
    </comment>
    <comment ref="F355" authorId="1" shapeId="0" xr:uid="{3425B8D3-A3B0-4236-B9D8-F07010BA1018}">
      <text/>
    </comment>
    <comment ref="A357" authorId="1" shapeId="0" xr:uid="{0C82EE04-BEC4-430A-BC1A-33269EAD6B52}">
      <text>
        <r>
          <rPr>
            <sz val="11"/>
            <color theme="1"/>
            <rFont val="Calibri"/>
            <family val="2"/>
            <scheme val="minor"/>
          </rPr>
          <t>Introduzca un codigo UNSPSC</t>
        </r>
      </text>
    </comment>
    <comment ref="B357" authorId="1" shapeId="0" xr:uid="{271BE611-DD6A-46D6-85C7-51C4FC1CC79D}">
      <text>
        <r>
          <rPr>
            <sz val="11"/>
            <color theme="1"/>
            <rFont val="Calibri"/>
            <family val="2"/>
            <scheme val="minor"/>
          </rPr>
          <t>Descripción calculada automáticamente a partir de código del artículo</t>
        </r>
      </text>
    </comment>
    <comment ref="C357" authorId="1" shapeId="0" xr:uid="{64A87663-D5DB-49BD-BCCB-B552630CD03C}">
      <text>
        <r>
          <rPr>
            <sz val="11"/>
            <color theme="1"/>
            <rFont val="Calibri"/>
            <family val="2"/>
            <scheme val="minor"/>
          </rPr>
          <t>Seleccione un valor de la lista</t>
        </r>
      </text>
    </comment>
    <comment ref="D357" authorId="1" shapeId="0" xr:uid="{BB1589AE-8643-4A9E-A2DA-2264AECE9B65}">
      <text>
        <r>
          <rPr>
            <sz val="11"/>
            <color theme="1"/>
            <rFont val="Calibri"/>
            <family val="2"/>
            <scheme val="minor"/>
          </rPr>
          <t>Introduzca un número con dos decimales como máximo. Debe ser igual o mayor a la "Cantidad Real Consumida"</t>
        </r>
      </text>
    </comment>
    <comment ref="E357" authorId="1" shapeId="0" xr:uid="{CBA46D19-9404-4260-96AA-5E6A7D3E0B27}">
      <text>
        <r>
          <rPr>
            <sz val="11"/>
            <color theme="1"/>
            <rFont val="Calibri"/>
            <family val="2"/>
            <scheme val="minor"/>
          </rPr>
          <t>Introduzca un número con dos decimales como máximo</t>
        </r>
      </text>
    </comment>
    <comment ref="F357" authorId="1" shapeId="0" xr:uid="{A995365F-2650-4C50-84EF-E0938AC543D5}">
      <text>
        <r>
          <rPr>
            <sz val="11"/>
            <color theme="1"/>
            <rFont val="Calibri"/>
            <family val="2"/>
            <scheme val="minor"/>
          </rPr>
          <t>Monto calculado automáticamente por el sistema</t>
        </r>
      </text>
    </comment>
    <comment ref="A365" authorId="1" shapeId="0" xr:uid="{FF03A7AC-914D-474B-89AD-01BA8DBD17D6}">
      <text>
        <r>
          <rPr>
            <sz val="11"/>
            <color theme="1"/>
            <rFont val="Calibri"/>
            <family val="2"/>
            <scheme val="minor"/>
          </rPr>
          <t>Introducir un texto con el nombre o referencia de la contratación</t>
        </r>
      </text>
    </comment>
    <comment ref="B365" authorId="1" shapeId="0" xr:uid="{82A18FA2-9E78-4422-BD77-1B35D305CE85}">
      <text>
        <r>
          <rPr>
            <sz val="11"/>
            <color theme="1"/>
            <rFont val="Calibri"/>
            <family val="2"/>
            <scheme val="minor"/>
          </rPr>
          <t>Introduzca un texto con la finalidad de la contratación</t>
        </r>
      </text>
    </comment>
    <comment ref="C365" authorId="1" shapeId="0" xr:uid="{761BFD2D-10D1-4506-B72C-7868B4ED9DCD}">
      <text>
        <r>
          <rPr>
            <sz val="11"/>
            <color theme="1"/>
            <rFont val="Calibri"/>
            <family val="2"/>
            <scheme val="minor"/>
          </rPr>
          <t>Seleccionar un valor del listado</t>
        </r>
      </text>
    </comment>
    <comment ref="D365" authorId="1" shapeId="0" xr:uid="{A26DD5FC-A498-4AA8-90E2-C9AE5E3BD7A8}">
      <text>
        <r>
          <rPr>
            <sz val="11"/>
            <color theme="1"/>
            <rFont val="Calibri"/>
            <family val="2"/>
            <scheme val="minor"/>
          </rPr>
          <t>Seleccione el tipo de procedimiento</t>
        </r>
      </text>
    </comment>
    <comment ref="E365" authorId="1" shapeId="0" xr:uid="{22521536-6C7E-4C0D-AE0E-CBA6B9307B4E}">
      <text>
        <r>
          <rPr>
            <sz val="11"/>
            <color theme="1"/>
            <rFont val="Calibri"/>
            <family val="2"/>
            <scheme val="minor"/>
          </rPr>
          <t>Seleccione un valor de la lista</t>
        </r>
      </text>
    </comment>
    <comment ref="F365" authorId="1" shapeId="0" xr:uid="{05ACAE31-AC4A-44E8-9710-465D2B647919}">
      <text>
        <r>
          <rPr>
            <sz val="11"/>
            <color theme="1"/>
            <rFont val="Calibri"/>
            <family val="2"/>
            <scheme val="minor"/>
          </rPr>
          <t>Introduzca el código SNIP</t>
        </r>
      </text>
    </comment>
    <comment ref="C366" authorId="1" shapeId="0" xr:uid="{AA07CC9F-AE8B-4839-920C-D08A1EFDE8BF}">
      <text>
        <r>
          <rPr>
            <sz val="11"/>
            <color theme="1"/>
            <rFont val="Calibri"/>
            <family val="2"/>
            <scheme val="minor"/>
          </rPr>
          <t>Introduzca la fecha de inicio del proceso, en formato dd-mm-aaaa</t>
        </r>
      </text>
    </comment>
    <comment ref="F366" authorId="1" shapeId="0" xr:uid="{B02F951C-AADD-447A-9B4F-1B76F2DE0E2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7" authorId="1" shapeId="0" xr:uid="{211E5909-9740-4EB8-84F6-1A79E3228308}">
      <text/>
    </comment>
    <comment ref="C368" authorId="1" shapeId="0" xr:uid="{0D6D7E78-1B99-470F-B118-BFC15D57DD32}">
      <text>
        <r>
          <rPr>
            <sz val="11"/>
            <color theme="1"/>
            <rFont val="Calibri"/>
            <family val="2"/>
            <scheme val="minor"/>
          </rPr>
          <t>Introduzca la fecha prevista de adjudicación, en formato dd-mm-aaaa</t>
        </r>
      </text>
    </comment>
    <comment ref="F368" authorId="1" shapeId="0" xr:uid="{7D5E14D4-63FA-46C9-B9C7-4BCEA367A00D}">
      <text/>
    </comment>
    <comment ref="F369" authorId="1" shapeId="0" xr:uid="{9157F0C7-21C1-4978-BC5E-C44F79A4441A}">
      <text/>
    </comment>
    <comment ref="A371" authorId="1" shapeId="0" xr:uid="{40F37741-144C-4981-ACA7-B823A2631675}">
      <text>
        <r>
          <rPr>
            <sz val="11"/>
            <color theme="1"/>
            <rFont val="Calibri"/>
            <family val="2"/>
            <scheme val="minor"/>
          </rPr>
          <t>Introduzca un codigo UNSPSC</t>
        </r>
      </text>
    </comment>
    <comment ref="B371" authorId="1" shapeId="0" xr:uid="{DB6F248F-B3DF-4338-ABD4-9293E80B47FB}">
      <text>
        <r>
          <rPr>
            <sz val="11"/>
            <color theme="1"/>
            <rFont val="Calibri"/>
            <family val="2"/>
            <scheme val="minor"/>
          </rPr>
          <t>Descripción calculada automáticamente a partir de código del artículo</t>
        </r>
      </text>
    </comment>
    <comment ref="C371" authorId="1" shapeId="0" xr:uid="{B17824C7-BB71-4F25-BEE7-E3BD70A87740}">
      <text>
        <r>
          <rPr>
            <sz val="11"/>
            <color theme="1"/>
            <rFont val="Calibri"/>
            <family val="2"/>
            <scheme val="minor"/>
          </rPr>
          <t>Seleccione un valor de la lista</t>
        </r>
      </text>
    </comment>
    <comment ref="D371" authorId="1" shapeId="0" xr:uid="{D862D9B2-C49F-467F-9872-F8B1BD7CCCD6}">
      <text>
        <r>
          <rPr>
            <sz val="11"/>
            <color theme="1"/>
            <rFont val="Calibri"/>
            <family val="2"/>
            <scheme val="minor"/>
          </rPr>
          <t>Introduzca un número con dos decimales como máximo. Debe ser igual o mayor a la "Cantidad Real Consumida"</t>
        </r>
      </text>
    </comment>
    <comment ref="E371" authorId="1" shapeId="0" xr:uid="{5C19E8DF-0227-4CE4-95D2-DE49C7F40AEB}">
      <text>
        <r>
          <rPr>
            <sz val="11"/>
            <color theme="1"/>
            <rFont val="Calibri"/>
            <family val="2"/>
            <scheme val="minor"/>
          </rPr>
          <t>Introduzca un número con dos decimales como máximo</t>
        </r>
      </text>
    </comment>
    <comment ref="F371" authorId="1" shapeId="0" xr:uid="{0C7C53C3-22FA-4281-B9FF-DF7DF38900EF}">
      <text>
        <r>
          <rPr>
            <sz val="11"/>
            <color theme="1"/>
            <rFont val="Calibri"/>
            <family val="2"/>
            <scheme val="minor"/>
          </rPr>
          <t>Monto calculado automáticamente por el sistema</t>
        </r>
      </text>
    </comment>
    <comment ref="A379" authorId="1" shapeId="0" xr:uid="{7C9956EC-0814-4E75-B1B3-110B68C851B8}">
      <text>
        <r>
          <rPr>
            <sz val="11"/>
            <color theme="1"/>
            <rFont val="Calibri"/>
            <family val="2"/>
            <scheme val="minor"/>
          </rPr>
          <t>Introducir un texto con el nombre o referencia de la contratación</t>
        </r>
      </text>
    </comment>
    <comment ref="B379" authorId="1" shapeId="0" xr:uid="{013E5AA8-CCD4-46CE-89C9-21B243D9077D}">
      <text>
        <r>
          <rPr>
            <sz val="11"/>
            <color theme="1"/>
            <rFont val="Calibri"/>
            <family val="2"/>
            <scheme val="minor"/>
          </rPr>
          <t>Introduzca un texto con la finalidad de la contratación</t>
        </r>
      </text>
    </comment>
    <comment ref="C379" authorId="1" shapeId="0" xr:uid="{7AC6828E-0959-43B5-9DCE-D17A7B5E5DCF}">
      <text>
        <r>
          <rPr>
            <sz val="11"/>
            <color theme="1"/>
            <rFont val="Calibri"/>
            <family val="2"/>
            <scheme val="minor"/>
          </rPr>
          <t>Seleccionar un valor del listado</t>
        </r>
      </text>
    </comment>
    <comment ref="D379" authorId="1" shapeId="0" xr:uid="{6B4920D6-CB50-4DF0-AF51-B7B2C243BA0F}">
      <text>
        <r>
          <rPr>
            <sz val="11"/>
            <color theme="1"/>
            <rFont val="Calibri"/>
            <family val="2"/>
            <scheme val="minor"/>
          </rPr>
          <t>Seleccione el tipo de procedimiento</t>
        </r>
      </text>
    </comment>
    <comment ref="E379" authorId="1" shapeId="0" xr:uid="{62BDCCE0-50B8-41AC-8FEE-7C1ADDBE282C}">
      <text>
        <r>
          <rPr>
            <sz val="11"/>
            <color theme="1"/>
            <rFont val="Calibri"/>
            <family val="2"/>
            <scheme val="minor"/>
          </rPr>
          <t>Seleccione un valor de la lista</t>
        </r>
      </text>
    </comment>
    <comment ref="F379" authorId="1" shapeId="0" xr:uid="{1D444F99-7941-448D-A02E-4DC6C1AD4951}">
      <text>
        <r>
          <rPr>
            <sz val="11"/>
            <color theme="1"/>
            <rFont val="Calibri"/>
            <family val="2"/>
            <scheme val="minor"/>
          </rPr>
          <t>Introduzca el código SNIP</t>
        </r>
      </text>
    </comment>
    <comment ref="C380" authorId="1" shapeId="0" xr:uid="{AAB2D528-FB91-4100-9D06-62044991F35B}">
      <text>
        <r>
          <rPr>
            <sz val="11"/>
            <color theme="1"/>
            <rFont val="Calibri"/>
            <family val="2"/>
            <scheme val="minor"/>
          </rPr>
          <t>Introduzca la fecha de inicio del proceso, en formato dd-mm-aaaa</t>
        </r>
      </text>
    </comment>
    <comment ref="F380" authorId="1" shapeId="0" xr:uid="{B8D9A04A-1D26-46E5-A609-5E8CBBB3D68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1" authorId="1" shapeId="0" xr:uid="{1DB94B6A-7C98-4BDE-B322-45F9E83B140A}">
      <text/>
    </comment>
    <comment ref="C382" authorId="1" shapeId="0" xr:uid="{B5E404A9-33B3-451C-9443-1615AF51FBDF}">
      <text>
        <r>
          <rPr>
            <sz val="11"/>
            <color theme="1"/>
            <rFont val="Calibri"/>
            <family val="2"/>
            <scheme val="minor"/>
          </rPr>
          <t>Introduzca la fecha prevista de adjudicación, en formato dd-mm-aaaa</t>
        </r>
      </text>
    </comment>
    <comment ref="F382" authorId="1" shapeId="0" xr:uid="{1BF75DAA-374F-420C-8DE5-C60FBE2ADAF8}">
      <text/>
    </comment>
    <comment ref="F383" authorId="1" shapeId="0" xr:uid="{46E77090-DDA1-4BA8-BE87-A6413462688D}">
      <text/>
    </comment>
    <comment ref="A385" authorId="1" shapeId="0" xr:uid="{FB3C7E6A-9C67-48A3-A070-CF62458DD0BD}">
      <text>
        <r>
          <rPr>
            <sz val="11"/>
            <color theme="1"/>
            <rFont val="Calibri"/>
            <family val="2"/>
            <scheme val="minor"/>
          </rPr>
          <t>Introduzca un codigo UNSPSC</t>
        </r>
      </text>
    </comment>
    <comment ref="B385" authorId="1" shapeId="0" xr:uid="{EDF54C7D-83DB-4BF1-942A-B12CFCC037FE}">
      <text>
        <r>
          <rPr>
            <sz val="11"/>
            <color theme="1"/>
            <rFont val="Calibri"/>
            <family val="2"/>
            <scheme val="minor"/>
          </rPr>
          <t>Descripción calculada automáticamente a partir de código del artículo</t>
        </r>
      </text>
    </comment>
    <comment ref="C385" authorId="1" shapeId="0" xr:uid="{AE767BF5-B12E-4CB4-84D3-579F0D7132E7}">
      <text>
        <r>
          <rPr>
            <sz val="11"/>
            <color theme="1"/>
            <rFont val="Calibri"/>
            <family val="2"/>
            <scheme val="minor"/>
          </rPr>
          <t>Seleccione un valor de la lista</t>
        </r>
      </text>
    </comment>
    <comment ref="D385" authorId="1" shapeId="0" xr:uid="{AF1C0E02-2449-488C-B201-908F2D5EB4C9}">
      <text>
        <r>
          <rPr>
            <sz val="11"/>
            <color theme="1"/>
            <rFont val="Calibri"/>
            <family val="2"/>
            <scheme val="minor"/>
          </rPr>
          <t>Introduzca un número con dos decimales como máximo. Debe ser igual o mayor a la "Cantidad Real Consumida"</t>
        </r>
      </text>
    </comment>
    <comment ref="E385" authorId="1" shapeId="0" xr:uid="{CA2A9B89-A417-464E-83A7-6D8AFAD7559C}">
      <text>
        <r>
          <rPr>
            <sz val="11"/>
            <color theme="1"/>
            <rFont val="Calibri"/>
            <family val="2"/>
            <scheme val="minor"/>
          </rPr>
          <t>Introduzca un número con dos decimales como máximo</t>
        </r>
      </text>
    </comment>
    <comment ref="F385" authorId="1" shapeId="0" xr:uid="{503F3948-0652-4BB7-91B3-B83281654EE4}">
      <text>
        <r>
          <rPr>
            <sz val="11"/>
            <color theme="1"/>
            <rFont val="Calibri"/>
            <family val="2"/>
            <scheme val="minor"/>
          </rPr>
          <t>Monto calculado automáticamente por el sistema</t>
        </r>
      </text>
    </comment>
    <comment ref="A394" authorId="1" shapeId="0" xr:uid="{E1B08E08-878E-430F-997F-0E29C38C0BA4}">
      <text>
        <r>
          <rPr>
            <sz val="11"/>
            <color theme="1"/>
            <rFont val="Calibri"/>
            <family val="2"/>
            <scheme val="minor"/>
          </rPr>
          <t>Introducir un texto con el nombre o referencia de la contratación</t>
        </r>
      </text>
    </comment>
    <comment ref="B394" authorId="1" shapeId="0" xr:uid="{9225FB29-6F0F-4B74-973B-0D874CAC6562}">
      <text>
        <r>
          <rPr>
            <sz val="11"/>
            <color theme="1"/>
            <rFont val="Calibri"/>
            <family val="2"/>
            <scheme val="minor"/>
          </rPr>
          <t>Introduzca un texto con la finalidad de la contratación</t>
        </r>
      </text>
    </comment>
    <comment ref="C394" authorId="1" shapeId="0" xr:uid="{F5BEC667-EF4F-4364-84A5-F0B7743BB953}">
      <text>
        <r>
          <rPr>
            <sz val="11"/>
            <color theme="1"/>
            <rFont val="Calibri"/>
            <family val="2"/>
            <scheme val="minor"/>
          </rPr>
          <t>Seleccionar un valor del listado</t>
        </r>
      </text>
    </comment>
    <comment ref="D394" authorId="1" shapeId="0" xr:uid="{74CAE3D0-B738-4BF9-89F4-DF6C2B91B393}">
      <text>
        <r>
          <rPr>
            <sz val="11"/>
            <color theme="1"/>
            <rFont val="Calibri"/>
            <family val="2"/>
            <scheme val="minor"/>
          </rPr>
          <t>Seleccione el tipo de procedimiento</t>
        </r>
      </text>
    </comment>
    <comment ref="E394" authorId="1" shapeId="0" xr:uid="{E3D8B879-6C2E-440C-B0A0-F41C64929ED6}">
      <text>
        <r>
          <rPr>
            <sz val="11"/>
            <color theme="1"/>
            <rFont val="Calibri"/>
            <family val="2"/>
            <scheme val="minor"/>
          </rPr>
          <t>Seleccione un valor de la lista</t>
        </r>
      </text>
    </comment>
    <comment ref="F394" authorId="1" shapeId="0" xr:uid="{66D3C11A-7893-441C-B7DB-32686CACB5D0}">
      <text>
        <r>
          <rPr>
            <sz val="11"/>
            <color theme="1"/>
            <rFont val="Calibri"/>
            <family val="2"/>
            <scheme val="minor"/>
          </rPr>
          <t>Introduzca el código SNIP</t>
        </r>
      </text>
    </comment>
    <comment ref="C395" authorId="1" shapeId="0" xr:uid="{E2235B2F-2E5B-4960-99DD-AACC0AB055B4}">
      <text>
        <r>
          <rPr>
            <sz val="11"/>
            <color theme="1"/>
            <rFont val="Calibri"/>
            <family val="2"/>
            <scheme val="minor"/>
          </rPr>
          <t>Introduzca la fecha de inicio del proceso, en formato dd-mm-aaaa</t>
        </r>
      </text>
    </comment>
    <comment ref="F395" authorId="1" shapeId="0" xr:uid="{1529A8CC-F5EE-44E4-8151-FC3DE2CAEAA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6" authorId="1" shapeId="0" xr:uid="{EBC35370-6F2E-4D2D-A71B-902F2E6CFE0A}">
      <text/>
    </comment>
    <comment ref="C397" authorId="1" shapeId="0" xr:uid="{5B0BA8AD-086E-4969-A5DE-CB2825E10168}">
      <text>
        <r>
          <rPr>
            <sz val="11"/>
            <color theme="1"/>
            <rFont val="Calibri"/>
            <family val="2"/>
            <scheme val="minor"/>
          </rPr>
          <t>Introduzca la fecha prevista de adjudicación, en formato dd-mm-aaaa</t>
        </r>
      </text>
    </comment>
    <comment ref="F397" authorId="1" shapeId="0" xr:uid="{72D0838E-E2E6-4D51-9C00-A0F4867A0921}">
      <text/>
    </comment>
    <comment ref="F398" authorId="1" shapeId="0" xr:uid="{65251322-EE61-45AE-94E6-C58AAAF6FE99}">
      <text/>
    </comment>
    <comment ref="A400" authorId="1" shapeId="0" xr:uid="{A4FF18CC-8838-4B42-8F29-BBFEFC237190}">
      <text>
        <r>
          <rPr>
            <sz val="11"/>
            <color theme="1"/>
            <rFont val="Calibri"/>
            <family val="2"/>
            <scheme val="minor"/>
          </rPr>
          <t>Introduzca un codigo UNSPSC</t>
        </r>
      </text>
    </comment>
    <comment ref="B400" authorId="1" shapeId="0" xr:uid="{5E21A9EC-0F55-43DA-9147-A080BDFB57B4}">
      <text>
        <r>
          <rPr>
            <sz val="11"/>
            <color theme="1"/>
            <rFont val="Calibri"/>
            <family val="2"/>
            <scheme val="minor"/>
          </rPr>
          <t>Descripción calculada automáticamente a partir de código del artículo</t>
        </r>
      </text>
    </comment>
    <comment ref="C400" authorId="1" shapeId="0" xr:uid="{C5E2DB62-64E8-4835-9977-DC934F81C7C4}">
      <text>
        <r>
          <rPr>
            <sz val="11"/>
            <color theme="1"/>
            <rFont val="Calibri"/>
            <family val="2"/>
            <scheme val="minor"/>
          </rPr>
          <t>Seleccione un valor de la lista</t>
        </r>
      </text>
    </comment>
    <comment ref="D400" authorId="1" shapeId="0" xr:uid="{4E3E7C06-7E47-4873-840E-ED2CBE76A321}">
      <text>
        <r>
          <rPr>
            <sz val="11"/>
            <color theme="1"/>
            <rFont val="Calibri"/>
            <family val="2"/>
            <scheme val="minor"/>
          </rPr>
          <t>Introduzca un número con dos decimales como máximo. Debe ser igual o mayor a la "Cantidad Real Consumida"</t>
        </r>
      </text>
    </comment>
    <comment ref="E400" authorId="1" shapeId="0" xr:uid="{3B9F97FD-6167-47AB-A3E2-3B1810CD9D48}">
      <text>
        <r>
          <rPr>
            <sz val="11"/>
            <color theme="1"/>
            <rFont val="Calibri"/>
            <family val="2"/>
            <scheme val="minor"/>
          </rPr>
          <t>Introduzca un número con dos decimales como máximo</t>
        </r>
      </text>
    </comment>
    <comment ref="F400" authorId="1" shapeId="0" xr:uid="{36F1BD58-0BA4-41E5-BD33-7EB90C4846D9}">
      <text>
        <r>
          <rPr>
            <sz val="11"/>
            <color theme="1"/>
            <rFont val="Calibri"/>
            <family val="2"/>
            <scheme val="minor"/>
          </rPr>
          <t>Monto calculado automáticamente por el sistema</t>
        </r>
      </text>
    </comment>
    <comment ref="A405" authorId="1" shapeId="0" xr:uid="{9836DEF7-9649-4BE9-9B46-72EDF6F62994}">
      <text>
        <r>
          <rPr>
            <sz val="11"/>
            <color theme="1"/>
            <rFont val="Calibri"/>
            <family val="2"/>
            <scheme val="minor"/>
          </rPr>
          <t>Introducir un texto con el nombre o referencia de la contratación</t>
        </r>
      </text>
    </comment>
    <comment ref="B405" authorId="1" shapeId="0" xr:uid="{70295B58-1864-44B3-AA1C-0B10D30BED31}">
      <text>
        <r>
          <rPr>
            <sz val="11"/>
            <color theme="1"/>
            <rFont val="Calibri"/>
            <family val="2"/>
            <scheme val="minor"/>
          </rPr>
          <t>Introduzca un texto con la finalidad de la contratación</t>
        </r>
      </text>
    </comment>
    <comment ref="C405" authorId="1" shapeId="0" xr:uid="{D2F91D58-8AC2-4C0A-B361-4D918763A622}">
      <text>
        <r>
          <rPr>
            <sz val="11"/>
            <color theme="1"/>
            <rFont val="Calibri"/>
            <family val="2"/>
            <scheme val="minor"/>
          </rPr>
          <t>Seleccionar un valor del listado</t>
        </r>
      </text>
    </comment>
    <comment ref="D405" authorId="1" shapeId="0" xr:uid="{45AD366D-72D5-4E8C-BBDD-6CF062AAFEA5}">
      <text>
        <r>
          <rPr>
            <sz val="11"/>
            <color theme="1"/>
            <rFont val="Calibri"/>
            <family val="2"/>
            <scheme val="minor"/>
          </rPr>
          <t>Seleccione el tipo de procedimiento</t>
        </r>
      </text>
    </comment>
    <comment ref="E405" authorId="1" shapeId="0" xr:uid="{1E6C686A-1C0D-40D3-95E5-DF999F8AF5A7}">
      <text>
        <r>
          <rPr>
            <sz val="11"/>
            <color theme="1"/>
            <rFont val="Calibri"/>
            <family val="2"/>
            <scheme val="minor"/>
          </rPr>
          <t>Seleccione un valor de la lista</t>
        </r>
      </text>
    </comment>
    <comment ref="F405" authorId="1" shapeId="0" xr:uid="{BD77C618-8396-40B1-A6AE-E66E45A55422}">
      <text>
        <r>
          <rPr>
            <sz val="11"/>
            <color theme="1"/>
            <rFont val="Calibri"/>
            <family val="2"/>
            <scheme val="minor"/>
          </rPr>
          <t>Introduzca el código SNIP</t>
        </r>
      </text>
    </comment>
    <comment ref="C406" authorId="1" shapeId="0" xr:uid="{F312BA28-333A-4FD1-8AF1-62C04292F236}">
      <text>
        <r>
          <rPr>
            <sz val="11"/>
            <color theme="1"/>
            <rFont val="Calibri"/>
            <family val="2"/>
            <scheme val="minor"/>
          </rPr>
          <t>Introduzca la fecha de inicio del proceso, en formato dd-mm-aaaa</t>
        </r>
      </text>
    </comment>
    <comment ref="F406" authorId="1" shapeId="0" xr:uid="{6B36ACCB-1C53-4300-A562-649F5A2F60C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7" authorId="1" shapeId="0" xr:uid="{575D9A25-23ED-4602-A722-60115104A02B}">
      <text/>
    </comment>
    <comment ref="C408" authorId="1" shapeId="0" xr:uid="{CE787C68-67F1-43BF-BE87-F727B7F38158}">
      <text>
        <r>
          <rPr>
            <sz val="11"/>
            <color theme="1"/>
            <rFont val="Calibri"/>
            <family val="2"/>
            <scheme val="minor"/>
          </rPr>
          <t>Introduzca la fecha prevista de adjudicación, en formato dd-mm-aaaa</t>
        </r>
      </text>
    </comment>
    <comment ref="F408" authorId="1" shapeId="0" xr:uid="{DD366EC7-4FDF-4701-99E7-94DCEE0CF841}">
      <text/>
    </comment>
    <comment ref="F409" authorId="1" shapeId="0" xr:uid="{CC6F1628-26D2-4AE9-A01A-E4DAF686B730}">
      <text/>
    </comment>
    <comment ref="A411" authorId="1" shapeId="0" xr:uid="{C18DCC97-B7D0-4DC8-AFCE-01352B18829A}">
      <text>
        <r>
          <rPr>
            <sz val="11"/>
            <color theme="1"/>
            <rFont val="Calibri"/>
            <family val="2"/>
            <scheme val="minor"/>
          </rPr>
          <t>Introduzca un codigo UNSPSC</t>
        </r>
      </text>
    </comment>
    <comment ref="B411" authorId="1" shapeId="0" xr:uid="{346D7691-160C-470B-B4E9-C36621D3DF99}">
      <text>
        <r>
          <rPr>
            <sz val="11"/>
            <color theme="1"/>
            <rFont val="Calibri"/>
            <family val="2"/>
            <scheme val="minor"/>
          </rPr>
          <t>Descripción calculada automáticamente a partir de código del artículo</t>
        </r>
      </text>
    </comment>
    <comment ref="C411" authorId="1" shapeId="0" xr:uid="{DFC7E122-D28F-431E-ADE8-C2AE88D3F4C9}">
      <text>
        <r>
          <rPr>
            <sz val="11"/>
            <color theme="1"/>
            <rFont val="Calibri"/>
            <family val="2"/>
            <scheme val="minor"/>
          </rPr>
          <t>Seleccione un valor de la lista</t>
        </r>
      </text>
    </comment>
    <comment ref="D411" authorId="1" shapeId="0" xr:uid="{B0B607F6-3302-44D3-A974-A129F0535797}">
      <text>
        <r>
          <rPr>
            <sz val="11"/>
            <color theme="1"/>
            <rFont val="Calibri"/>
            <family val="2"/>
            <scheme val="minor"/>
          </rPr>
          <t>Introduzca un número con dos decimales como máximo. Debe ser igual o mayor a la "Cantidad Real Consumida"</t>
        </r>
      </text>
    </comment>
    <comment ref="E411" authorId="1" shapeId="0" xr:uid="{D11CC04F-90CD-42E1-BFFE-E74830411A4C}">
      <text>
        <r>
          <rPr>
            <sz val="11"/>
            <color theme="1"/>
            <rFont val="Calibri"/>
            <family val="2"/>
            <scheme val="minor"/>
          </rPr>
          <t>Introduzca un número con dos decimales como máximo</t>
        </r>
      </text>
    </comment>
    <comment ref="F411" authorId="1" shapeId="0" xr:uid="{74520E1B-3B45-4B40-B169-0D94D2D54518}">
      <text>
        <r>
          <rPr>
            <sz val="11"/>
            <color theme="1"/>
            <rFont val="Calibri"/>
            <family val="2"/>
            <scheme val="minor"/>
          </rPr>
          <t>Monto calculado automáticamente por el sistema</t>
        </r>
      </text>
    </comment>
    <comment ref="A417" authorId="1" shapeId="0" xr:uid="{02A39389-21A8-4A43-A1CA-E40F0112C4B3}">
      <text>
        <r>
          <rPr>
            <sz val="11"/>
            <color theme="1"/>
            <rFont val="Calibri"/>
            <family val="2"/>
            <scheme val="minor"/>
          </rPr>
          <t>Introducir un texto con el nombre o referencia de la contratación</t>
        </r>
      </text>
    </comment>
    <comment ref="B417" authorId="1" shapeId="0" xr:uid="{BC06BC38-1A91-48C3-B2B6-6C5F03799DA0}">
      <text>
        <r>
          <rPr>
            <sz val="11"/>
            <color theme="1"/>
            <rFont val="Calibri"/>
            <family val="2"/>
            <scheme val="minor"/>
          </rPr>
          <t>Introduzca un texto con la finalidad de la contratación</t>
        </r>
      </text>
    </comment>
    <comment ref="C417" authorId="1" shapeId="0" xr:uid="{8925C9DB-C169-4255-BC30-5B1843F4413F}">
      <text>
        <r>
          <rPr>
            <sz val="11"/>
            <color theme="1"/>
            <rFont val="Calibri"/>
            <family val="2"/>
            <scheme val="minor"/>
          </rPr>
          <t>Seleccionar un valor del listado</t>
        </r>
      </text>
    </comment>
    <comment ref="D417" authorId="1" shapeId="0" xr:uid="{2620FA45-B0DD-4250-950D-A7743F118564}">
      <text>
        <r>
          <rPr>
            <sz val="11"/>
            <color theme="1"/>
            <rFont val="Calibri"/>
            <family val="2"/>
            <scheme val="minor"/>
          </rPr>
          <t>Seleccione el tipo de procedimiento</t>
        </r>
      </text>
    </comment>
    <comment ref="E417" authorId="1" shapeId="0" xr:uid="{4E622843-5AD6-4648-A82B-1ACD05C6E8F7}">
      <text>
        <r>
          <rPr>
            <sz val="11"/>
            <color theme="1"/>
            <rFont val="Calibri"/>
            <family val="2"/>
            <scheme val="minor"/>
          </rPr>
          <t>Seleccione un valor de la lista</t>
        </r>
      </text>
    </comment>
    <comment ref="F417" authorId="1" shapeId="0" xr:uid="{A5975048-B8AB-4B1C-BCBF-C608A9F79837}">
      <text>
        <r>
          <rPr>
            <sz val="11"/>
            <color theme="1"/>
            <rFont val="Calibri"/>
            <family val="2"/>
            <scheme val="minor"/>
          </rPr>
          <t>Introduzca el código SNIP</t>
        </r>
      </text>
    </comment>
    <comment ref="C418" authorId="1" shapeId="0" xr:uid="{52AC31A3-B0E3-416D-8A49-984FDE5A547C}">
      <text>
        <r>
          <rPr>
            <sz val="11"/>
            <color theme="1"/>
            <rFont val="Calibri"/>
            <family val="2"/>
            <scheme val="minor"/>
          </rPr>
          <t>Introduzca la fecha de inicio del proceso, en formato dd-mm-aaaa</t>
        </r>
      </text>
    </comment>
    <comment ref="F418" authorId="1" shapeId="0" xr:uid="{329C4641-D8DB-4EFA-A282-DBBACD7F53D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9" authorId="1" shapeId="0" xr:uid="{C842E386-69C6-4EC3-B4A9-B31CE132AEF2}">
      <text/>
    </comment>
    <comment ref="C420" authorId="1" shapeId="0" xr:uid="{9505FF95-FE53-4D74-AD63-2209FB88329B}">
      <text>
        <r>
          <rPr>
            <sz val="11"/>
            <color theme="1"/>
            <rFont val="Calibri"/>
            <family val="2"/>
            <scheme val="minor"/>
          </rPr>
          <t>Introduzca la fecha prevista de adjudicación, en formato dd-mm-aaaa</t>
        </r>
      </text>
    </comment>
    <comment ref="F420" authorId="1" shapeId="0" xr:uid="{FC9FDAD0-9A14-4CDA-B4DA-2A65CCC7B0CE}">
      <text/>
    </comment>
    <comment ref="F421" authorId="1" shapeId="0" xr:uid="{1B54ABE9-C4D3-4BC3-92CA-260BF5A55F06}">
      <text/>
    </comment>
    <comment ref="A423" authorId="1" shapeId="0" xr:uid="{77004E2D-1010-42AE-B74D-97BE31D248AC}">
      <text>
        <r>
          <rPr>
            <sz val="11"/>
            <color theme="1"/>
            <rFont val="Calibri"/>
            <family val="2"/>
            <scheme val="minor"/>
          </rPr>
          <t>Introduzca un codigo UNSPSC</t>
        </r>
      </text>
    </comment>
    <comment ref="B423" authorId="1" shapeId="0" xr:uid="{9A18116F-9654-4B5B-B1C4-394C08901EAD}">
      <text>
        <r>
          <rPr>
            <sz val="11"/>
            <color theme="1"/>
            <rFont val="Calibri"/>
            <family val="2"/>
            <scheme val="minor"/>
          </rPr>
          <t>Descripción calculada automáticamente a partir de código del artículo</t>
        </r>
      </text>
    </comment>
    <comment ref="C423" authorId="1" shapeId="0" xr:uid="{0A6EFE61-6164-4FA3-837E-28ABE9E1827D}">
      <text>
        <r>
          <rPr>
            <sz val="11"/>
            <color theme="1"/>
            <rFont val="Calibri"/>
            <family val="2"/>
            <scheme val="minor"/>
          </rPr>
          <t>Seleccione un valor de la lista</t>
        </r>
      </text>
    </comment>
    <comment ref="D423" authorId="1" shapeId="0" xr:uid="{2558F932-B9AC-483C-85E8-3951098AA9F2}">
      <text>
        <r>
          <rPr>
            <sz val="11"/>
            <color theme="1"/>
            <rFont val="Calibri"/>
            <family val="2"/>
            <scheme val="minor"/>
          </rPr>
          <t>Introduzca un número con dos decimales como máximo. Debe ser igual o mayor a la "Cantidad Real Consumida"</t>
        </r>
      </text>
    </comment>
    <comment ref="E423" authorId="1" shapeId="0" xr:uid="{9770CAB0-950E-4440-BCC8-789487E9B523}">
      <text>
        <r>
          <rPr>
            <sz val="11"/>
            <color theme="1"/>
            <rFont val="Calibri"/>
            <family val="2"/>
            <scheme val="minor"/>
          </rPr>
          <t>Introduzca un número con dos decimales como máximo</t>
        </r>
      </text>
    </comment>
    <comment ref="F423" authorId="1" shapeId="0" xr:uid="{ACB0C439-AC5E-494F-B7D4-4FA1E535C61B}">
      <text>
        <r>
          <rPr>
            <sz val="11"/>
            <color theme="1"/>
            <rFont val="Calibri"/>
            <family val="2"/>
            <scheme val="minor"/>
          </rPr>
          <t>Monto calculado automáticamente por el sistema</t>
        </r>
      </text>
    </comment>
    <comment ref="A429" authorId="1" shapeId="0" xr:uid="{FA9288A6-0855-4466-86AA-352750FD3F81}">
      <text>
        <r>
          <rPr>
            <sz val="11"/>
            <color theme="1"/>
            <rFont val="Calibri"/>
            <family val="2"/>
            <scheme val="minor"/>
          </rPr>
          <t>Introducir un texto con el nombre o referencia de la contratación</t>
        </r>
      </text>
    </comment>
    <comment ref="B429" authorId="1" shapeId="0" xr:uid="{15ACEE0B-23A7-487E-82F8-B7C9A445A359}">
      <text>
        <r>
          <rPr>
            <sz val="11"/>
            <color theme="1"/>
            <rFont val="Calibri"/>
            <family val="2"/>
            <scheme val="minor"/>
          </rPr>
          <t>Introduzca un texto con la finalidad de la contratación</t>
        </r>
      </text>
    </comment>
    <comment ref="C429" authorId="1" shapeId="0" xr:uid="{306DEAF4-0DB2-43F2-979E-32A8A8694234}">
      <text>
        <r>
          <rPr>
            <sz val="11"/>
            <color theme="1"/>
            <rFont val="Calibri"/>
            <family val="2"/>
            <scheme val="minor"/>
          </rPr>
          <t>Seleccionar un valor del listado</t>
        </r>
      </text>
    </comment>
    <comment ref="D429" authorId="1" shapeId="0" xr:uid="{E35F6BDA-0FFF-4C73-B888-1FFEFEC8E6C9}">
      <text>
        <r>
          <rPr>
            <sz val="11"/>
            <color theme="1"/>
            <rFont val="Calibri"/>
            <family val="2"/>
            <scheme val="minor"/>
          </rPr>
          <t>Seleccione el tipo de procedimiento</t>
        </r>
      </text>
    </comment>
    <comment ref="E429" authorId="1" shapeId="0" xr:uid="{69A0E613-B281-4CB9-8FCA-91DE3B2DF7F5}">
      <text>
        <r>
          <rPr>
            <sz val="11"/>
            <color theme="1"/>
            <rFont val="Calibri"/>
            <family val="2"/>
            <scheme val="minor"/>
          </rPr>
          <t>Seleccione un valor de la lista</t>
        </r>
      </text>
    </comment>
    <comment ref="F429" authorId="1" shapeId="0" xr:uid="{39E63A2A-C09C-4518-9233-84C25236B151}">
      <text>
        <r>
          <rPr>
            <sz val="11"/>
            <color theme="1"/>
            <rFont val="Calibri"/>
            <family val="2"/>
            <scheme val="minor"/>
          </rPr>
          <t>Introduzca el código SNIP</t>
        </r>
      </text>
    </comment>
    <comment ref="C430" authorId="1" shapeId="0" xr:uid="{AAAFC4C8-D123-4D2D-A34F-35192E4E66F8}">
      <text>
        <r>
          <rPr>
            <sz val="11"/>
            <color theme="1"/>
            <rFont val="Calibri"/>
            <family val="2"/>
            <scheme val="minor"/>
          </rPr>
          <t>Introduzca la fecha de inicio del proceso, en formato dd-mm-aaaa</t>
        </r>
      </text>
    </comment>
    <comment ref="F430" authorId="1" shapeId="0" xr:uid="{D59A3E94-3A1C-4586-AF30-D49919354F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1" authorId="1" shapeId="0" xr:uid="{D625FE23-7A23-4B34-A7F6-6244591CA7D1}">
      <text/>
    </comment>
    <comment ref="C432" authorId="1" shapeId="0" xr:uid="{78758F4C-C558-4592-A5B9-43787E51FB5B}">
      <text>
        <r>
          <rPr>
            <sz val="11"/>
            <color theme="1"/>
            <rFont val="Calibri"/>
            <family val="2"/>
            <scheme val="minor"/>
          </rPr>
          <t>Introduzca la fecha prevista de adjudicación, en formato dd-mm-aaaa</t>
        </r>
      </text>
    </comment>
    <comment ref="F432" authorId="1" shapeId="0" xr:uid="{BA022FE2-38A4-41DD-A628-A91B18ADB275}">
      <text/>
    </comment>
    <comment ref="F433" authorId="1" shapeId="0" xr:uid="{3EEB70E2-1F92-4706-8227-9212F9BC2B63}">
      <text/>
    </comment>
    <comment ref="A435" authorId="1" shapeId="0" xr:uid="{444E9523-657C-48F3-9A22-6A4DEC81C067}">
      <text>
        <r>
          <rPr>
            <sz val="11"/>
            <color theme="1"/>
            <rFont val="Calibri"/>
            <family val="2"/>
            <scheme val="minor"/>
          </rPr>
          <t>Introduzca un codigo UNSPSC</t>
        </r>
      </text>
    </comment>
    <comment ref="B435" authorId="1" shapeId="0" xr:uid="{0E54DFB8-2C9C-4911-953C-6C9FBCA289D4}">
      <text>
        <r>
          <rPr>
            <sz val="11"/>
            <color theme="1"/>
            <rFont val="Calibri"/>
            <family val="2"/>
            <scheme val="minor"/>
          </rPr>
          <t>Descripción calculada automáticamente a partir de código del artículo</t>
        </r>
      </text>
    </comment>
    <comment ref="C435" authorId="1" shapeId="0" xr:uid="{1A52351F-9490-48CD-B190-7D0AAF6D45AD}">
      <text>
        <r>
          <rPr>
            <sz val="11"/>
            <color theme="1"/>
            <rFont val="Calibri"/>
            <family val="2"/>
            <scheme val="minor"/>
          </rPr>
          <t>Seleccione un valor de la lista</t>
        </r>
      </text>
    </comment>
    <comment ref="D435" authorId="1" shapeId="0" xr:uid="{DB30A00D-0ACD-4FAC-B150-DE7DCA61CDF5}">
      <text>
        <r>
          <rPr>
            <sz val="11"/>
            <color theme="1"/>
            <rFont val="Calibri"/>
            <family val="2"/>
            <scheme val="minor"/>
          </rPr>
          <t>Introduzca un número con dos decimales como máximo. Debe ser igual o mayor a la "Cantidad Real Consumida"</t>
        </r>
      </text>
    </comment>
    <comment ref="E435" authorId="1" shapeId="0" xr:uid="{8CE60CB3-D6EC-48AF-B786-79F2CEF44B53}">
      <text>
        <r>
          <rPr>
            <sz val="11"/>
            <color theme="1"/>
            <rFont val="Calibri"/>
            <family val="2"/>
            <scheme val="minor"/>
          </rPr>
          <t>Introduzca un número con dos decimales como máximo</t>
        </r>
      </text>
    </comment>
    <comment ref="F435" authorId="1" shapeId="0" xr:uid="{19DB755D-8204-4AFC-8B3E-1B72EDADFD57}">
      <text>
        <r>
          <rPr>
            <sz val="11"/>
            <color theme="1"/>
            <rFont val="Calibri"/>
            <family val="2"/>
            <scheme val="minor"/>
          </rPr>
          <t>Monto calculado automáticamente por el sistema</t>
        </r>
      </text>
    </comment>
    <comment ref="A443" authorId="1" shapeId="0" xr:uid="{1F33C7FB-9A1E-4E18-95E9-0E746612FB9A}">
      <text>
        <r>
          <rPr>
            <sz val="11"/>
            <color theme="1"/>
            <rFont val="Calibri"/>
            <family val="2"/>
            <scheme val="minor"/>
          </rPr>
          <t>Introducir un texto con el nombre o referencia de la contratación</t>
        </r>
      </text>
    </comment>
    <comment ref="B443" authorId="1" shapeId="0" xr:uid="{A7DBFEE5-EDB9-4349-835E-BBE176F68B9D}">
      <text>
        <r>
          <rPr>
            <sz val="11"/>
            <color theme="1"/>
            <rFont val="Calibri"/>
            <family val="2"/>
            <scheme val="minor"/>
          </rPr>
          <t>Introduzca un texto con la finalidad de la contratación</t>
        </r>
      </text>
    </comment>
    <comment ref="C443" authorId="1" shapeId="0" xr:uid="{0CECBF5D-9456-4AD9-8616-1CDF6BD0851E}">
      <text>
        <r>
          <rPr>
            <sz val="11"/>
            <color theme="1"/>
            <rFont val="Calibri"/>
            <family val="2"/>
            <scheme val="minor"/>
          </rPr>
          <t>Seleccionar un valor del listado</t>
        </r>
      </text>
    </comment>
    <comment ref="D443" authorId="1" shapeId="0" xr:uid="{596DBE8E-D2A0-4775-A16F-5A7F91A90D39}">
      <text>
        <r>
          <rPr>
            <sz val="11"/>
            <color theme="1"/>
            <rFont val="Calibri"/>
            <family val="2"/>
            <scheme val="minor"/>
          </rPr>
          <t>Seleccione el tipo de procedimiento</t>
        </r>
      </text>
    </comment>
    <comment ref="E443" authorId="1" shapeId="0" xr:uid="{ED16BC1C-58C1-47FD-AC4F-8B6B63D7ABF8}">
      <text>
        <r>
          <rPr>
            <sz val="11"/>
            <color theme="1"/>
            <rFont val="Calibri"/>
            <family val="2"/>
            <scheme val="minor"/>
          </rPr>
          <t>Seleccione un valor de la lista</t>
        </r>
      </text>
    </comment>
    <comment ref="F443" authorId="1" shapeId="0" xr:uid="{A17DC318-EA84-409F-B639-27AEA2D11507}">
      <text>
        <r>
          <rPr>
            <sz val="11"/>
            <color theme="1"/>
            <rFont val="Calibri"/>
            <family val="2"/>
            <scheme val="minor"/>
          </rPr>
          <t>Introduzca el código SNIP</t>
        </r>
      </text>
    </comment>
    <comment ref="C444" authorId="1" shapeId="0" xr:uid="{16755B9E-D77C-42C7-AED6-62623D009A31}">
      <text>
        <r>
          <rPr>
            <sz val="11"/>
            <color theme="1"/>
            <rFont val="Calibri"/>
            <family val="2"/>
            <scheme val="minor"/>
          </rPr>
          <t>Introduzca la fecha de inicio del proceso, en formato dd-mm-aaaa</t>
        </r>
      </text>
    </comment>
    <comment ref="F444" authorId="1" shapeId="0" xr:uid="{CB0139BA-D638-4B06-944C-B7C7A361355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5" authorId="1" shapeId="0" xr:uid="{DD19AF19-4487-4167-9C8F-FB8F76487086}">
      <text/>
    </comment>
    <comment ref="C446" authorId="1" shapeId="0" xr:uid="{02D7CA29-6386-4552-8842-45599D2C51F9}">
      <text>
        <r>
          <rPr>
            <sz val="11"/>
            <color theme="1"/>
            <rFont val="Calibri"/>
            <family val="2"/>
            <scheme val="minor"/>
          </rPr>
          <t>Introduzca la fecha prevista de adjudicación, en formato dd-mm-aaaa</t>
        </r>
      </text>
    </comment>
    <comment ref="F446" authorId="1" shapeId="0" xr:uid="{041579E7-0A82-49C0-925F-4F38A8F5785E}">
      <text/>
    </comment>
    <comment ref="F447" authorId="1" shapeId="0" xr:uid="{616698C6-5C01-445C-9567-84208CAD9429}">
      <text/>
    </comment>
    <comment ref="A449" authorId="1" shapeId="0" xr:uid="{F20AD095-0AA7-4DDE-BC16-4A0500D25AC4}">
      <text>
        <r>
          <rPr>
            <sz val="11"/>
            <color theme="1"/>
            <rFont val="Calibri"/>
            <family val="2"/>
            <scheme val="minor"/>
          </rPr>
          <t>Introduzca un codigo UNSPSC</t>
        </r>
      </text>
    </comment>
    <comment ref="B449" authorId="1" shapeId="0" xr:uid="{5A21CB41-5A6D-4B56-AA01-29B8E726C93E}">
      <text>
        <r>
          <rPr>
            <sz val="11"/>
            <color theme="1"/>
            <rFont val="Calibri"/>
            <family val="2"/>
            <scheme val="minor"/>
          </rPr>
          <t>Descripción calculada automáticamente a partir de código del artículo</t>
        </r>
      </text>
    </comment>
    <comment ref="C449" authorId="1" shapeId="0" xr:uid="{AB176CA8-A85C-4758-A94F-A080914B1F02}">
      <text>
        <r>
          <rPr>
            <sz val="11"/>
            <color theme="1"/>
            <rFont val="Calibri"/>
            <family val="2"/>
            <scheme val="minor"/>
          </rPr>
          <t>Seleccione un valor de la lista</t>
        </r>
      </text>
    </comment>
    <comment ref="D449" authorId="1" shapeId="0" xr:uid="{67C987F2-B7F1-4BAE-A41A-6BE453C5BD87}">
      <text>
        <r>
          <rPr>
            <sz val="11"/>
            <color theme="1"/>
            <rFont val="Calibri"/>
            <family val="2"/>
            <scheme val="minor"/>
          </rPr>
          <t>Introduzca un número con dos decimales como máximo. Debe ser igual o mayor a la "Cantidad Real Consumida"</t>
        </r>
      </text>
    </comment>
    <comment ref="E449" authorId="1" shapeId="0" xr:uid="{56D553DB-7C9E-4CB2-A8F5-0FB9BA3F8284}">
      <text>
        <r>
          <rPr>
            <sz val="11"/>
            <color theme="1"/>
            <rFont val="Calibri"/>
            <family val="2"/>
            <scheme val="minor"/>
          </rPr>
          <t>Introduzca un número con dos decimales como máximo</t>
        </r>
      </text>
    </comment>
    <comment ref="F449" authorId="1" shapeId="0" xr:uid="{96A8E56A-4597-4678-A28F-BAFC07547B43}">
      <text>
        <r>
          <rPr>
            <sz val="11"/>
            <color theme="1"/>
            <rFont val="Calibri"/>
            <family val="2"/>
            <scheme val="minor"/>
          </rPr>
          <t>Monto calculado automáticamente por el sistema</t>
        </r>
      </text>
    </comment>
    <comment ref="A456" authorId="1" shapeId="0" xr:uid="{BC8B95F9-CFFA-4A02-A775-DC9D59944F7B}">
      <text>
        <r>
          <rPr>
            <sz val="11"/>
            <color theme="1"/>
            <rFont val="Calibri"/>
            <family val="2"/>
            <scheme val="minor"/>
          </rPr>
          <t>Introducir un texto con el nombre o referencia de la contratación</t>
        </r>
      </text>
    </comment>
    <comment ref="B456" authorId="1" shapeId="0" xr:uid="{F97F0F91-822F-4FB3-BD26-AAA2C8419E59}">
      <text>
        <r>
          <rPr>
            <sz val="11"/>
            <color theme="1"/>
            <rFont val="Calibri"/>
            <family val="2"/>
            <scheme val="minor"/>
          </rPr>
          <t>Introduzca un texto con la finalidad de la contratación</t>
        </r>
      </text>
    </comment>
    <comment ref="C456" authorId="1" shapeId="0" xr:uid="{332B507F-177D-407F-B3D5-AEA5914BC2AD}">
      <text>
        <r>
          <rPr>
            <sz val="11"/>
            <color theme="1"/>
            <rFont val="Calibri"/>
            <family val="2"/>
            <scheme val="minor"/>
          </rPr>
          <t>Seleccionar un valor del listado</t>
        </r>
      </text>
    </comment>
    <comment ref="D456" authorId="1" shapeId="0" xr:uid="{C97C585D-4B3A-4D4C-ADCA-0C89FBBDA767}">
      <text>
        <r>
          <rPr>
            <sz val="11"/>
            <color theme="1"/>
            <rFont val="Calibri"/>
            <family val="2"/>
            <scheme val="minor"/>
          </rPr>
          <t>Seleccione el tipo de procedimiento</t>
        </r>
      </text>
    </comment>
    <comment ref="E456" authorId="1" shapeId="0" xr:uid="{7A69E956-2522-4ECC-A17B-797844720B93}">
      <text>
        <r>
          <rPr>
            <sz val="11"/>
            <color theme="1"/>
            <rFont val="Calibri"/>
            <family val="2"/>
            <scheme val="minor"/>
          </rPr>
          <t>Seleccione un valor de la lista</t>
        </r>
      </text>
    </comment>
    <comment ref="F456" authorId="1" shapeId="0" xr:uid="{E28283F9-2EA8-492D-AF90-212C6FA3C299}">
      <text>
        <r>
          <rPr>
            <sz val="11"/>
            <color theme="1"/>
            <rFont val="Calibri"/>
            <family val="2"/>
            <scheme val="minor"/>
          </rPr>
          <t>Introduzca el código SNIP</t>
        </r>
      </text>
    </comment>
    <comment ref="C457" authorId="1" shapeId="0" xr:uid="{31EE973C-68AF-4DF9-A51E-5C5AFA38A3B3}">
      <text>
        <r>
          <rPr>
            <sz val="11"/>
            <color theme="1"/>
            <rFont val="Calibri"/>
            <family val="2"/>
            <scheme val="minor"/>
          </rPr>
          <t>Introduzca la fecha de inicio del proceso, en formato dd-mm-aaaa</t>
        </r>
      </text>
    </comment>
    <comment ref="F457" authorId="1" shapeId="0" xr:uid="{98336EEC-1595-493C-BD1E-70EA408DD08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8" authorId="1" shapeId="0" xr:uid="{5633474D-117A-470F-9463-6A55C4A51466}">
      <text/>
    </comment>
    <comment ref="C459" authorId="1" shapeId="0" xr:uid="{3993D7D8-F584-44E1-B5DA-C91010FC83CB}">
      <text>
        <r>
          <rPr>
            <sz val="11"/>
            <color theme="1"/>
            <rFont val="Calibri"/>
            <family val="2"/>
            <scheme val="minor"/>
          </rPr>
          <t>Introduzca la fecha prevista de adjudicación, en formato dd-mm-aaaa</t>
        </r>
      </text>
    </comment>
    <comment ref="F459" authorId="1" shapeId="0" xr:uid="{F45BE136-D8CE-46BC-BD36-F2FDC01BF3DD}">
      <text/>
    </comment>
    <comment ref="F460" authorId="1" shapeId="0" xr:uid="{E200E178-0C5E-40A0-BF27-1F59C15EEA77}">
      <text/>
    </comment>
    <comment ref="A462" authorId="1" shapeId="0" xr:uid="{4BE269CD-108A-41A2-9345-87FCDFCF8563}">
      <text>
        <r>
          <rPr>
            <sz val="11"/>
            <color theme="1"/>
            <rFont val="Calibri"/>
            <family val="2"/>
            <scheme val="minor"/>
          </rPr>
          <t>Introduzca un codigo UNSPSC</t>
        </r>
      </text>
    </comment>
    <comment ref="B462" authorId="1" shapeId="0" xr:uid="{A6D809D9-38A3-4385-B410-CFA8CE0885F2}">
      <text>
        <r>
          <rPr>
            <sz val="11"/>
            <color theme="1"/>
            <rFont val="Calibri"/>
            <family val="2"/>
            <scheme val="minor"/>
          </rPr>
          <t>Descripción calculada automáticamente a partir de código del artículo</t>
        </r>
      </text>
    </comment>
    <comment ref="C462" authorId="1" shapeId="0" xr:uid="{292DD9BA-A82A-4AB3-A9B0-506B1B92A40F}">
      <text>
        <r>
          <rPr>
            <sz val="11"/>
            <color theme="1"/>
            <rFont val="Calibri"/>
            <family val="2"/>
            <scheme val="minor"/>
          </rPr>
          <t>Seleccione un valor de la lista</t>
        </r>
      </text>
    </comment>
    <comment ref="D462" authorId="1" shapeId="0" xr:uid="{75154151-2761-41C2-93B6-405124774AFB}">
      <text>
        <r>
          <rPr>
            <sz val="11"/>
            <color theme="1"/>
            <rFont val="Calibri"/>
            <family val="2"/>
            <scheme val="minor"/>
          </rPr>
          <t>Introduzca un número con dos decimales como máximo. Debe ser igual o mayor a la "Cantidad Real Consumida"</t>
        </r>
      </text>
    </comment>
    <comment ref="E462" authorId="1" shapeId="0" xr:uid="{B116C79C-9B03-415A-A876-67DCAC6D0F0B}">
      <text>
        <r>
          <rPr>
            <sz val="11"/>
            <color theme="1"/>
            <rFont val="Calibri"/>
            <family val="2"/>
            <scheme val="minor"/>
          </rPr>
          <t>Introduzca un número con dos decimales como máximo</t>
        </r>
      </text>
    </comment>
    <comment ref="F462" authorId="1" shapeId="0" xr:uid="{6F607F0A-E082-4FC7-8EFD-11A411DF8E01}">
      <text>
        <r>
          <rPr>
            <sz val="11"/>
            <color theme="1"/>
            <rFont val="Calibri"/>
            <family val="2"/>
            <scheme val="minor"/>
          </rPr>
          <t>Monto calculado automáticamente por el sistema</t>
        </r>
      </text>
    </comment>
    <comment ref="A469" authorId="1" shapeId="0" xr:uid="{B98D4C45-A0EC-46A4-A555-1A12F80717DF}">
      <text>
        <r>
          <rPr>
            <sz val="11"/>
            <color theme="1"/>
            <rFont val="Calibri"/>
            <family val="2"/>
            <scheme val="minor"/>
          </rPr>
          <t>Introducir un texto con el nombre o referencia de la contratación</t>
        </r>
      </text>
    </comment>
    <comment ref="B469" authorId="1" shapeId="0" xr:uid="{EEE24256-C9EA-4489-84F4-27D656332BC5}">
      <text>
        <r>
          <rPr>
            <sz val="11"/>
            <color theme="1"/>
            <rFont val="Calibri"/>
            <family val="2"/>
            <scheme val="minor"/>
          </rPr>
          <t>Introduzca un texto con la finalidad de la contratación</t>
        </r>
      </text>
    </comment>
    <comment ref="C469" authorId="1" shapeId="0" xr:uid="{28B87AC6-37D8-4254-8F18-C471610F2C78}">
      <text>
        <r>
          <rPr>
            <sz val="11"/>
            <color theme="1"/>
            <rFont val="Calibri"/>
            <family val="2"/>
            <scheme val="minor"/>
          </rPr>
          <t>Seleccionar un valor del listado</t>
        </r>
      </text>
    </comment>
    <comment ref="D469" authorId="1" shapeId="0" xr:uid="{DA9C1B46-1799-451F-B93A-53D8AA7902D1}">
      <text>
        <r>
          <rPr>
            <sz val="11"/>
            <color theme="1"/>
            <rFont val="Calibri"/>
            <family val="2"/>
            <scheme val="minor"/>
          </rPr>
          <t>Seleccione el tipo de procedimiento</t>
        </r>
      </text>
    </comment>
    <comment ref="E469" authorId="1" shapeId="0" xr:uid="{FDBF55ED-C63E-4FF8-B161-8D50B2A2EDC8}">
      <text>
        <r>
          <rPr>
            <sz val="11"/>
            <color theme="1"/>
            <rFont val="Calibri"/>
            <family val="2"/>
            <scheme val="minor"/>
          </rPr>
          <t>Seleccione un valor de la lista</t>
        </r>
      </text>
    </comment>
    <comment ref="F469" authorId="1" shapeId="0" xr:uid="{76230D59-D9F3-4925-8E4C-46E9A4FF77AF}">
      <text>
        <r>
          <rPr>
            <sz val="11"/>
            <color theme="1"/>
            <rFont val="Calibri"/>
            <family val="2"/>
            <scheme val="minor"/>
          </rPr>
          <t>Introduzca el código SNIP</t>
        </r>
      </text>
    </comment>
    <comment ref="C470" authorId="1" shapeId="0" xr:uid="{295C29C4-768C-445C-9DEF-BA45246206C8}">
      <text>
        <r>
          <rPr>
            <sz val="11"/>
            <color theme="1"/>
            <rFont val="Calibri"/>
            <family val="2"/>
            <scheme val="minor"/>
          </rPr>
          <t>Introduzca la fecha de inicio del proceso, en formato dd-mm-aaaa</t>
        </r>
      </text>
    </comment>
    <comment ref="F470" authorId="1" shapeId="0" xr:uid="{387463F1-1375-46EA-B13F-ABA6DE89D3A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1" authorId="1" shapeId="0" xr:uid="{A52878F9-0E0C-42C1-9E6B-7BF0AA6ED591}">
      <text/>
    </comment>
    <comment ref="C472" authorId="1" shapeId="0" xr:uid="{4E40120F-F6C9-4F98-BECE-667BB3BF882C}">
      <text>
        <r>
          <rPr>
            <sz val="11"/>
            <color theme="1"/>
            <rFont val="Calibri"/>
            <family val="2"/>
            <scheme val="minor"/>
          </rPr>
          <t>Introduzca la fecha prevista de adjudicación, en formato dd-mm-aaaa</t>
        </r>
      </text>
    </comment>
    <comment ref="F472" authorId="1" shapeId="0" xr:uid="{DB719A2B-B68E-495F-949F-F55E5265BE57}">
      <text/>
    </comment>
    <comment ref="F473" authorId="1" shapeId="0" xr:uid="{C0DD2B2E-5E82-4111-8DB4-3B9D552BAC5A}">
      <text/>
    </comment>
    <comment ref="A475" authorId="1" shapeId="0" xr:uid="{B1FF64AE-D77E-4AD0-B845-A0CC6B11217D}">
      <text>
        <r>
          <rPr>
            <sz val="11"/>
            <color theme="1"/>
            <rFont val="Calibri"/>
            <family val="2"/>
            <scheme val="minor"/>
          </rPr>
          <t>Introduzca un codigo UNSPSC</t>
        </r>
      </text>
    </comment>
    <comment ref="B475" authorId="1" shapeId="0" xr:uid="{78FD3965-A717-4DC5-AE25-B9649E87FB38}">
      <text>
        <r>
          <rPr>
            <sz val="11"/>
            <color theme="1"/>
            <rFont val="Calibri"/>
            <family val="2"/>
            <scheme val="minor"/>
          </rPr>
          <t>Descripción calculada automáticamente a partir de código del artículo</t>
        </r>
      </text>
    </comment>
    <comment ref="C475" authorId="1" shapeId="0" xr:uid="{E006CAD3-AAD3-4FD3-9281-01C9A6419632}">
      <text>
        <r>
          <rPr>
            <sz val="11"/>
            <color theme="1"/>
            <rFont val="Calibri"/>
            <family val="2"/>
            <scheme val="minor"/>
          </rPr>
          <t>Seleccione un valor de la lista</t>
        </r>
      </text>
    </comment>
    <comment ref="D475" authorId="1" shapeId="0" xr:uid="{0C4985DA-7451-415C-86F7-A62EE6542508}">
      <text>
        <r>
          <rPr>
            <sz val="11"/>
            <color theme="1"/>
            <rFont val="Calibri"/>
            <family val="2"/>
            <scheme val="minor"/>
          </rPr>
          <t>Introduzca un número con dos decimales como máximo. Debe ser igual o mayor a la "Cantidad Real Consumida"</t>
        </r>
      </text>
    </comment>
    <comment ref="E475" authorId="1" shapeId="0" xr:uid="{5B12A783-0A48-4A21-A224-C5F2F0BE17B1}">
      <text>
        <r>
          <rPr>
            <sz val="11"/>
            <color theme="1"/>
            <rFont val="Calibri"/>
            <family val="2"/>
            <scheme val="minor"/>
          </rPr>
          <t>Introduzca un número con dos decimales como máximo</t>
        </r>
      </text>
    </comment>
    <comment ref="F475" authorId="1" shapeId="0" xr:uid="{FB043E15-3482-4293-8BDB-3C32E087C6F2}">
      <text>
        <r>
          <rPr>
            <sz val="11"/>
            <color theme="1"/>
            <rFont val="Calibri"/>
            <family val="2"/>
            <scheme val="minor"/>
          </rPr>
          <t>Monto calculado automáticamente por el sistema</t>
        </r>
      </text>
    </comment>
    <comment ref="A482" authorId="1" shapeId="0" xr:uid="{21ADE99A-4EBE-43C2-9585-54A5283E17B8}">
      <text>
        <r>
          <rPr>
            <sz val="11"/>
            <color theme="1"/>
            <rFont val="Calibri"/>
            <family val="2"/>
            <scheme val="minor"/>
          </rPr>
          <t>Introducir un texto con el nombre o referencia de la contratación</t>
        </r>
      </text>
    </comment>
    <comment ref="B482" authorId="1" shapeId="0" xr:uid="{25B8EB88-8D03-4F65-8F8E-1203ED60DEF1}">
      <text>
        <r>
          <rPr>
            <sz val="11"/>
            <color theme="1"/>
            <rFont val="Calibri"/>
            <family val="2"/>
            <scheme val="minor"/>
          </rPr>
          <t>Introduzca un texto con la finalidad de la contratación</t>
        </r>
      </text>
    </comment>
    <comment ref="C482" authorId="1" shapeId="0" xr:uid="{C59BE315-969F-41F2-A42B-A0E95F4D0F6C}">
      <text>
        <r>
          <rPr>
            <sz val="11"/>
            <color theme="1"/>
            <rFont val="Calibri"/>
            <family val="2"/>
            <scheme val="minor"/>
          </rPr>
          <t>Seleccionar un valor del listado</t>
        </r>
      </text>
    </comment>
    <comment ref="D482" authorId="1" shapeId="0" xr:uid="{96FBF20B-6D91-44D7-A1E5-00205EE70E57}">
      <text>
        <r>
          <rPr>
            <sz val="11"/>
            <color theme="1"/>
            <rFont val="Calibri"/>
            <family val="2"/>
            <scheme val="minor"/>
          </rPr>
          <t>Seleccione el tipo de procedimiento</t>
        </r>
      </text>
    </comment>
    <comment ref="E482" authorId="1" shapeId="0" xr:uid="{E7D53438-DB76-457A-9FF0-DB185E28E43B}">
      <text>
        <r>
          <rPr>
            <sz val="11"/>
            <color theme="1"/>
            <rFont val="Calibri"/>
            <family val="2"/>
            <scheme val="minor"/>
          </rPr>
          <t>Seleccione un valor de la lista</t>
        </r>
      </text>
    </comment>
    <comment ref="F482" authorId="1" shapeId="0" xr:uid="{D502E293-CAD9-4583-AC46-6A09A9CFBAAE}">
      <text>
        <r>
          <rPr>
            <sz val="11"/>
            <color theme="1"/>
            <rFont val="Calibri"/>
            <family val="2"/>
            <scheme val="minor"/>
          </rPr>
          <t>Introduzca el código SNIP</t>
        </r>
      </text>
    </comment>
    <comment ref="C483" authorId="1" shapeId="0" xr:uid="{43BE1211-F57D-4333-985D-FFB0A36F2F02}">
      <text>
        <r>
          <rPr>
            <sz val="11"/>
            <color theme="1"/>
            <rFont val="Calibri"/>
            <family val="2"/>
            <scheme val="minor"/>
          </rPr>
          <t>Introduzca la fecha de inicio del proceso, en formato dd-mm-aaaa</t>
        </r>
      </text>
    </comment>
    <comment ref="F483" authorId="1" shapeId="0" xr:uid="{BA6024AB-2CCF-489D-AE90-591A2049489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4" authorId="1" shapeId="0" xr:uid="{6B890108-385A-4763-9862-E702A73B9704}">
      <text/>
    </comment>
    <comment ref="C485" authorId="1" shapeId="0" xr:uid="{7B1223B0-BBB6-46E8-A48C-020762D55B67}">
      <text>
        <r>
          <rPr>
            <sz val="11"/>
            <color theme="1"/>
            <rFont val="Calibri"/>
            <family val="2"/>
            <scheme val="minor"/>
          </rPr>
          <t>Introduzca la fecha prevista de adjudicación, en formato dd-mm-aaaa</t>
        </r>
      </text>
    </comment>
    <comment ref="F485" authorId="1" shapeId="0" xr:uid="{55D34DB4-9100-4241-921E-797315357B3A}">
      <text/>
    </comment>
    <comment ref="F486" authorId="1" shapeId="0" xr:uid="{57C48774-A138-45FC-AD08-6508937D1C5F}">
      <text/>
    </comment>
    <comment ref="A488" authorId="1" shapeId="0" xr:uid="{FF18DF01-EE42-4501-885D-A8A522CEB579}">
      <text>
        <r>
          <rPr>
            <sz val="11"/>
            <color theme="1"/>
            <rFont val="Calibri"/>
            <family val="2"/>
            <scheme val="minor"/>
          </rPr>
          <t>Introduzca un codigo UNSPSC</t>
        </r>
      </text>
    </comment>
    <comment ref="B488" authorId="1" shapeId="0" xr:uid="{DC8596E8-30BF-46DA-9E1F-2A5E4AE0B441}">
      <text>
        <r>
          <rPr>
            <sz val="11"/>
            <color theme="1"/>
            <rFont val="Calibri"/>
            <family val="2"/>
            <scheme val="minor"/>
          </rPr>
          <t>Descripción calculada automáticamente a partir de código del artículo</t>
        </r>
      </text>
    </comment>
    <comment ref="C488" authorId="1" shapeId="0" xr:uid="{7076B671-C7E5-439F-9A54-CF3B13E8583E}">
      <text>
        <r>
          <rPr>
            <sz val="11"/>
            <color theme="1"/>
            <rFont val="Calibri"/>
            <family val="2"/>
            <scheme val="minor"/>
          </rPr>
          <t>Seleccione un valor de la lista</t>
        </r>
      </text>
    </comment>
    <comment ref="D488" authorId="1" shapeId="0" xr:uid="{9414A8F1-1D54-4888-A5F8-1ED6CBD4E569}">
      <text>
        <r>
          <rPr>
            <sz val="11"/>
            <color theme="1"/>
            <rFont val="Calibri"/>
            <family val="2"/>
            <scheme val="minor"/>
          </rPr>
          <t>Introduzca un número con dos decimales como máximo. Debe ser igual o mayor a la "Cantidad Real Consumida"</t>
        </r>
      </text>
    </comment>
    <comment ref="E488" authorId="1" shapeId="0" xr:uid="{C0609F6D-9715-4370-81FD-522DBD4027F1}">
      <text>
        <r>
          <rPr>
            <sz val="11"/>
            <color theme="1"/>
            <rFont val="Calibri"/>
            <family val="2"/>
            <scheme val="minor"/>
          </rPr>
          <t>Introduzca un número con dos decimales como máximo</t>
        </r>
      </text>
    </comment>
    <comment ref="F488" authorId="1" shapeId="0" xr:uid="{687AB52D-3DCA-4E6E-997B-6D718C53B2DC}">
      <text>
        <r>
          <rPr>
            <sz val="11"/>
            <color theme="1"/>
            <rFont val="Calibri"/>
            <family val="2"/>
            <scheme val="minor"/>
          </rPr>
          <t>Monto calculado automáticamente por el sistema</t>
        </r>
      </text>
    </comment>
    <comment ref="A496" authorId="1" shapeId="0" xr:uid="{5D7DB649-E439-45B0-85A8-DC430AB526F5}">
      <text>
        <r>
          <rPr>
            <sz val="11"/>
            <color theme="1"/>
            <rFont val="Calibri"/>
            <family val="2"/>
            <scheme val="minor"/>
          </rPr>
          <t>Introducir un texto con el nombre o referencia de la contratación</t>
        </r>
      </text>
    </comment>
    <comment ref="B496" authorId="1" shapeId="0" xr:uid="{2AF33847-B26B-4360-9275-097B1635C88C}">
      <text>
        <r>
          <rPr>
            <sz val="11"/>
            <color theme="1"/>
            <rFont val="Calibri"/>
            <family val="2"/>
            <scheme val="minor"/>
          </rPr>
          <t>Introduzca un texto con la finalidad de la contratación</t>
        </r>
      </text>
    </comment>
    <comment ref="C496" authorId="1" shapeId="0" xr:uid="{ADC53F0E-C1B3-402D-B888-F602FEFA09A1}">
      <text>
        <r>
          <rPr>
            <sz val="11"/>
            <color theme="1"/>
            <rFont val="Calibri"/>
            <family val="2"/>
            <scheme val="minor"/>
          </rPr>
          <t>Seleccionar un valor del listado</t>
        </r>
      </text>
    </comment>
    <comment ref="D496" authorId="1" shapeId="0" xr:uid="{9FE96AD9-009A-4103-B1DF-46B8973C1E61}">
      <text>
        <r>
          <rPr>
            <sz val="11"/>
            <color theme="1"/>
            <rFont val="Calibri"/>
            <family val="2"/>
            <scheme val="minor"/>
          </rPr>
          <t>Seleccione el tipo de procedimiento</t>
        </r>
      </text>
    </comment>
    <comment ref="E496" authorId="1" shapeId="0" xr:uid="{4FA5C87F-52E5-4FCF-BEE0-9A8D0D096EEE}">
      <text>
        <r>
          <rPr>
            <sz val="11"/>
            <color theme="1"/>
            <rFont val="Calibri"/>
            <family val="2"/>
            <scheme val="minor"/>
          </rPr>
          <t>Seleccione un valor de la lista</t>
        </r>
      </text>
    </comment>
    <comment ref="F496" authorId="1" shapeId="0" xr:uid="{8E604376-B115-40E1-9472-4F2224BD229F}">
      <text>
        <r>
          <rPr>
            <sz val="11"/>
            <color theme="1"/>
            <rFont val="Calibri"/>
            <family val="2"/>
            <scheme val="minor"/>
          </rPr>
          <t>Introduzca el código SNIP</t>
        </r>
      </text>
    </comment>
    <comment ref="C497" authorId="1" shapeId="0" xr:uid="{EDB6ED7A-DBFB-4B5C-8974-27593D435088}">
      <text>
        <r>
          <rPr>
            <sz val="11"/>
            <color theme="1"/>
            <rFont val="Calibri"/>
            <family val="2"/>
            <scheme val="minor"/>
          </rPr>
          <t>Introduzca la fecha de inicio del proceso, en formato dd-mm-aaaa</t>
        </r>
      </text>
    </comment>
    <comment ref="F497" authorId="1" shapeId="0" xr:uid="{E258F6C7-FB12-4AB9-A3C1-D40B9C70B8F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8" authorId="1" shapeId="0" xr:uid="{9D44BA31-78CC-4EA3-AA42-7CA6B83D989E}">
      <text/>
    </comment>
    <comment ref="C499" authorId="1" shapeId="0" xr:uid="{7E1D0FAF-5AF9-49D7-8A9F-7D304C03CC69}">
      <text>
        <r>
          <rPr>
            <sz val="11"/>
            <color theme="1"/>
            <rFont val="Calibri"/>
            <family val="2"/>
            <scheme val="minor"/>
          </rPr>
          <t>Introduzca la fecha prevista de adjudicación, en formato dd-mm-aaaa</t>
        </r>
      </text>
    </comment>
    <comment ref="F499" authorId="1" shapeId="0" xr:uid="{59E24700-5DDA-4056-BD4B-8A26724C3DFE}">
      <text/>
    </comment>
    <comment ref="F500" authorId="1" shapeId="0" xr:uid="{8580611F-0852-437D-B3AA-CFC6F979B33C}">
      <text/>
    </comment>
    <comment ref="A502" authorId="1" shapeId="0" xr:uid="{EDD471AE-EA6B-4D40-AC57-CA023842B34C}">
      <text>
        <r>
          <rPr>
            <sz val="11"/>
            <color theme="1"/>
            <rFont val="Calibri"/>
            <family val="2"/>
            <scheme val="minor"/>
          </rPr>
          <t>Introduzca un codigo UNSPSC</t>
        </r>
      </text>
    </comment>
    <comment ref="B502" authorId="1" shapeId="0" xr:uid="{DB872F93-4AA2-44BB-97FE-8F6FB943B5EF}">
      <text>
        <r>
          <rPr>
            <sz val="11"/>
            <color theme="1"/>
            <rFont val="Calibri"/>
            <family val="2"/>
            <scheme val="minor"/>
          </rPr>
          <t>Descripción calculada automáticamente a partir de código del artículo</t>
        </r>
      </text>
    </comment>
    <comment ref="C502" authorId="1" shapeId="0" xr:uid="{DDE894D0-B741-44B2-86B5-AC79BE72843F}">
      <text>
        <r>
          <rPr>
            <sz val="11"/>
            <color theme="1"/>
            <rFont val="Calibri"/>
            <family val="2"/>
            <scheme val="minor"/>
          </rPr>
          <t>Seleccione un valor de la lista</t>
        </r>
      </text>
    </comment>
    <comment ref="D502" authorId="1" shapeId="0" xr:uid="{71445325-D031-4F2D-A93B-A97DA7AFB4F4}">
      <text>
        <r>
          <rPr>
            <sz val="11"/>
            <color theme="1"/>
            <rFont val="Calibri"/>
            <family val="2"/>
            <scheme val="minor"/>
          </rPr>
          <t>Introduzca un número con dos decimales como máximo. Debe ser igual o mayor a la "Cantidad Real Consumida"</t>
        </r>
      </text>
    </comment>
    <comment ref="E502" authorId="1" shapeId="0" xr:uid="{37028B44-FC36-4D22-9E6B-FBACBF88DF0D}">
      <text>
        <r>
          <rPr>
            <sz val="11"/>
            <color theme="1"/>
            <rFont val="Calibri"/>
            <family val="2"/>
            <scheme val="minor"/>
          </rPr>
          <t>Introduzca un número con dos decimales como máximo</t>
        </r>
      </text>
    </comment>
    <comment ref="F502" authorId="1" shapeId="0" xr:uid="{B6E68B5C-AB51-4F22-BDE5-21EDF5E012D5}">
      <text>
        <r>
          <rPr>
            <sz val="11"/>
            <color theme="1"/>
            <rFont val="Calibri"/>
            <family val="2"/>
            <scheme val="minor"/>
          </rPr>
          <t>Monto calculado automáticamente por el sistema</t>
        </r>
      </text>
    </comment>
    <comment ref="A507" authorId="1" shapeId="0" xr:uid="{EB301C78-5CB9-4BD1-9B75-D362F20A02CD}">
      <text>
        <r>
          <rPr>
            <sz val="11"/>
            <color theme="1"/>
            <rFont val="Calibri"/>
            <family val="2"/>
            <scheme val="minor"/>
          </rPr>
          <t>Introducir un texto con el nombre o referencia de la contratación</t>
        </r>
      </text>
    </comment>
    <comment ref="B507" authorId="1" shapeId="0" xr:uid="{E4592532-9B60-4C4E-AD28-A86D0E2679C7}">
      <text>
        <r>
          <rPr>
            <sz val="11"/>
            <color theme="1"/>
            <rFont val="Calibri"/>
            <family val="2"/>
            <scheme val="minor"/>
          </rPr>
          <t>Introduzca un texto con la finalidad de la contratación</t>
        </r>
      </text>
    </comment>
    <comment ref="C507" authorId="1" shapeId="0" xr:uid="{87197F02-1C42-4823-8C30-780A58C731C0}">
      <text>
        <r>
          <rPr>
            <sz val="11"/>
            <color theme="1"/>
            <rFont val="Calibri"/>
            <family val="2"/>
            <scheme val="minor"/>
          </rPr>
          <t>Seleccionar un valor del listado</t>
        </r>
      </text>
    </comment>
    <comment ref="D507" authorId="1" shapeId="0" xr:uid="{74402DD2-0EC6-4512-A4DB-AD525AE14693}">
      <text>
        <r>
          <rPr>
            <sz val="11"/>
            <color theme="1"/>
            <rFont val="Calibri"/>
            <family val="2"/>
            <scheme val="minor"/>
          </rPr>
          <t>Seleccione el tipo de procedimiento</t>
        </r>
      </text>
    </comment>
    <comment ref="E507" authorId="1" shapeId="0" xr:uid="{7D7BFF86-EE65-4E0C-A015-F8E024370D3A}">
      <text>
        <r>
          <rPr>
            <sz val="11"/>
            <color theme="1"/>
            <rFont val="Calibri"/>
            <family val="2"/>
            <scheme val="minor"/>
          </rPr>
          <t>Seleccione un valor de la lista</t>
        </r>
      </text>
    </comment>
    <comment ref="F507" authorId="1" shapeId="0" xr:uid="{CA792D2C-A603-4576-A7AE-3C019EDC57EC}">
      <text>
        <r>
          <rPr>
            <sz val="11"/>
            <color theme="1"/>
            <rFont val="Calibri"/>
            <family val="2"/>
            <scheme val="minor"/>
          </rPr>
          <t>Introduzca el código SNIP</t>
        </r>
      </text>
    </comment>
    <comment ref="C508" authorId="1" shapeId="0" xr:uid="{28E31112-E997-4682-8EE7-410EA0BB3C7B}">
      <text>
        <r>
          <rPr>
            <sz val="11"/>
            <color theme="1"/>
            <rFont val="Calibri"/>
            <family val="2"/>
            <scheme val="minor"/>
          </rPr>
          <t>Introduzca la fecha de inicio del proceso, en formato dd-mm-aaaa</t>
        </r>
      </text>
    </comment>
    <comment ref="F508" authorId="1" shapeId="0" xr:uid="{1CC72485-9CEE-48FC-8415-D6A7DA2908C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9" authorId="1" shapeId="0" xr:uid="{4231F56A-3D25-44BB-9502-B531E6AA8139}">
      <text/>
    </comment>
    <comment ref="C510" authorId="1" shapeId="0" xr:uid="{61839F2F-3F5A-4C2D-95A7-218BBBCFE7E9}">
      <text>
        <r>
          <rPr>
            <sz val="11"/>
            <color theme="1"/>
            <rFont val="Calibri"/>
            <family val="2"/>
            <scheme val="minor"/>
          </rPr>
          <t>Introduzca la fecha prevista de adjudicación, en formato dd-mm-aaaa</t>
        </r>
      </text>
    </comment>
    <comment ref="F510" authorId="1" shapeId="0" xr:uid="{05B3DFCC-37E0-44B5-9931-4C357A0C7439}">
      <text/>
    </comment>
    <comment ref="F511" authorId="1" shapeId="0" xr:uid="{D0663BAC-6FE7-4C8E-9704-03EC5D8F27F6}">
      <text/>
    </comment>
    <comment ref="A513" authorId="1" shapeId="0" xr:uid="{05EA406C-5B6F-4FB6-9F43-653C3EF07BAE}">
      <text>
        <r>
          <rPr>
            <sz val="11"/>
            <color theme="1"/>
            <rFont val="Calibri"/>
            <family val="2"/>
            <scheme val="minor"/>
          </rPr>
          <t>Introduzca un codigo UNSPSC</t>
        </r>
      </text>
    </comment>
    <comment ref="B513" authorId="1" shapeId="0" xr:uid="{82605650-B583-4655-AEEB-9A230E8C9E2C}">
      <text>
        <r>
          <rPr>
            <sz val="11"/>
            <color theme="1"/>
            <rFont val="Calibri"/>
            <family val="2"/>
            <scheme val="minor"/>
          </rPr>
          <t>Descripción calculada automáticamente a partir de código del artículo</t>
        </r>
      </text>
    </comment>
    <comment ref="C513" authorId="1" shapeId="0" xr:uid="{E32C6ACB-F9B4-4DF0-8031-556CB55FE9B8}">
      <text>
        <r>
          <rPr>
            <sz val="11"/>
            <color theme="1"/>
            <rFont val="Calibri"/>
            <family val="2"/>
            <scheme val="minor"/>
          </rPr>
          <t>Seleccione un valor de la lista</t>
        </r>
      </text>
    </comment>
    <comment ref="D513" authorId="1" shapeId="0" xr:uid="{59993E81-AE62-4F5A-B831-ADA360B48E4A}">
      <text>
        <r>
          <rPr>
            <sz val="11"/>
            <color theme="1"/>
            <rFont val="Calibri"/>
            <family val="2"/>
            <scheme val="minor"/>
          </rPr>
          <t>Introduzca un número con dos decimales como máximo. Debe ser igual o mayor a la "Cantidad Real Consumida"</t>
        </r>
      </text>
    </comment>
    <comment ref="E513" authorId="1" shapeId="0" xr:uid="{EC78420D-B040-4758-94D0-2BDE19DFFF3A}">
      <text>
        <r>
          <rPr>
            <sz val="11"/>
            <color theme="1"/>
            <rFont val="Calibri"/>
            <family val="2"/>
            <scheme val="minor"/>
          </rPr>
          <t>Introduzca un número con dos decimales como máximo</t>
        </r>
      </text>
    </comment>
    <comment ref="F513" authorId="1" shapeId="0" xr:uid="{EC9F8B2A-5461-4B81-A53F-D03A737CAC5C}">
      <text>
        <r>
          <rPr>
            <sz val="11"/>
            <color theme="1"/>
            <rFont val="Calibri"/>
            <family val="2"/>
            <scheme val="minor"/>
          </rPr>
          <t>Monto calculado automáticamente por el sistema</t>
        </r>
      </text>
    </comment>
    <comment ref="A564" authorId="1" shapeId="0" xr:uid="{55273C56-0620-48B7-83F0-32E537176328}">
      <text>
        <r>
          <rPr>
            <sz val="11"/>
            <color theme="1"/>
            <rFont val="Calibri"/>
            <family val="2"/>
            <scheme val="minor"/>
          </rPr>
          <t>Introducir un texto con el nombre o referencia de la contratación</t>
        </r>
      </text>
    </comment>
    <comment ref="B564" authorId="1" shapeId="0" xr:uid="{C0D9AF58-4EA7-4137-8D5F-93E8D412A917}">
      <text>
        <r>
          <rPr>
            <sz val="11"/>
            <color theme="1"/>
            <rFont val="Calibri"/>
            <family val="2"/>
            <scheme val="minor"/>
          </rPr>
          <t>Introduzca un texto con la finalidad de la contratación</t>
        </r>
      </text>
    </comment>
    <comment ref="C564" authorId="1" shapeId="0" xr:uid="{E9B7A275-2CD1-404C-A397-73B1E0B3078D}">
      <text>
        <r>
          <rPr>
            <sz val="11"/>
            <color theme="1"/>
            <rFont val="Calibri"/>
            <family val="2"/>
            <scheme val="minor"/>
          </rPr>
          <t>Seleccionar un valor del listado</t>
        </r>
      </text>
    </comment>
    <comment ref="D564" authorId="1" shapeId="0" xr:uid="{EC5FB3DE-2AAC-402B-BDDB-BBEAEAA5D355}">
      <text>
        <r>
          <rPr>
            <sz val="11"/>
            <color theme="1"/>
            <rFont val="Calibri"/>
            <family val="2"/>
            <scheme val="minor"/>
          </rPr>
          <t>Seleccione el tipo de procedimiento</t>
        </r>
      </text>
    </comment>
    <comment ref="E564" authorId="1" shapeId="0" xr:uid="{1CD12525-6771-45C8-B075-E0FDABA4945E}">
      <text>
        <r>
          <rPr>
            <sz val="11"/>
            <color theme="1"/>
            <rFont val="Calibri"/>
            <family val="2"/>
            <scheme val="minor"/>
          </rPr>
          <t>Seleccione un valor de la lista</t>
        </r>
      </text>
    </comment>
    <comment ref="F564" authorId="1" shapeId="0" xr:uid="{AA71C2D4-DF3E-4F05-905B-ADA142275FB5}">
      <text>
        <r>
          <rPr>
            <sz val="11"/>
            <color theme="1"/>
            <rFont val="Calibri"/>
            <family val="2"/>
            <scheme val="minor"/>
          </rPr>
          <t>Introduzca el código SNIP</t>
        </r>
      </text>
    </comment>
    <comment ref="C565" authorId="1" shapeId="0" xr:uid="{09CF1997-8339-44F2-884F-A9C127CB90FC}">
      <text>
        <r>
          <rPr>
            <sz val="11"/>
            <color theme="1"/>
            <rFont val="Calibri"/>
            <family val="2"/>
            <scheme val="minor"/>
          </rPr>
          <t>Introduzca la fecha de inicio del proceso, en formato dd-mm-aaaa</t>
        </r>
      </text>
    </comment>
    <comment ref="F565" authorId="1" shapeId="0" xr:uid="{9A44E08B-226E-435C-B2D6-F64C4818D90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6" authorId="1" shapeId="0" xr:uid="{1EEA3332-DB41-45E6-AB0C-AB8AE4EB0A61}">
      <text/>
    </comment>
    <comment ref="C567" authorId="1" shapeId="0" xr:uid="{3EF17231-A056-4E5C-A777-4CB888BE364B}">
      <text>
        <r>
          <rPr>
            <sz val="11"/>
            <color theme="1"/>
            <rFont val="Calibri"/>
            <family val="2"/>
            <scheme val="minor"/>
          </rPr>
          <t>Introduzca la fecha prevista de adjudicación, en formato dd-mm-aaaa</t>
        </r>
      </text>
    </comment>
    <comment ref="F567" authorId="1" shapeId="0" xr:uid="{11F2FA25-8771-4D79-928A-236B29A8F600}">
      <text/>
    </comment>
    <comment ref="F568" authorId="1" shapeId="0" xr:uid="{C6E10EB0-4939-4B4C-AB27-03D3F8036E69}">
      <text/>
    </comment>
    <comment ref="A570" authorId="1" shapeId="0" xr:uid="{F8A66AEA-100A-4F58-A1F1-5BC765008A84}">
      <text>
        <r>
          <rPr>
            <sz val="11"/>
            <color theme="1"/>
            <rFont val="Calibri"/>
            <family val="2"/>
            <scheme val="minor"/>
          </rPr>
          <t>Introduzca un codigo UNSPSC</t>
        </r>
      </text>
    </comment>
    <comment ref="B570" authorId="1" shapeId="0" xr:uid="{2283051F-CC62-43C5-8787-1193E5FD2744}">
      <text>
        <r>
          <rPr>
            <sz val="11"/>
            <color theme="1"/>
            <rFont val="Calibri"/>
            <family val="2"/>
            <scheme val="minor"/>
          </rPr>
          <t>Descripción calculada automáticamente a partir de código del artículo</t>
        </r>
      </text>
    </comment>
    <comment ref="C570" authorId="1" shapeId="0" xr:uid="{85CBF47F-4F12-442C-875B-3281961AEBE9}">
      <text>
        <r>
          <rPr>
            <sz val="11"/>
            <color theme="1"/>
            <rFont val="Calibri"/>
            <family val="2"/>
            <scheme val="minor"/>
          </rPr>
          <t>Seleccione un valor de la lista</t>
        </r>
      </text>
    </comment>
    <comment ref="D570" authorId="1" shapeId="0" xr:uid="{42719941-09C7-4D35-A93A-1D1D07E2D012}">
      <text>
        <r>
          <rPr>
            <sz val="11"/>
            <color theme="1"/>
            <rFont val="Calibri"/>
            <family val="2"/>
            <scheme val="minor"/>
          </rPr>
          <t>Introduzca un número con dos decimales como máximo. Debe ser igual o mayor a la "Cantidad Real Consumida"</t>
        </r>
      </text>
    </comment>
    <comment ref="E570" authorId="1" shapeId="0" xr:uid="{6F37B98E-CA0D-4D6E-B234-A7C5C4E7C178}">
      <text>
        <r>
          <rPr>
            <sz val="11"/>
            <color theme="1"/>
            <rFont val="Calibri"/>
            <family val="2"/>
            <scheme val="minor"/>
          </rPr>
          <t>Introduzca un número con dos decimales como máximo</t>
        </r>
      </text>
    </comment>
    <comment ref="F570" authorId="1" shapeId="0" xr:uid="{94649EDA-405A-42A7-8862-DFBB66E31797}">
      <text>
        <r>
          <rPr>
            <sz val="11"/>
            <color theme="1"/>
            <rFont val="Calibri"/>
            <family val="2"/>
            <scheme val="minor"/>
          </rPr>
          <t>Monto calculado automáticamente por el sistema</t>
        </r>
      </text>
    </comment>
    <comment ref="A621" authorId="1" shapeId="0" xr:uid="{F2B7D0F0-ADCF-4D33-AE09-0D9642101F66}">
      <text>
        <r>
          <rPr>
            <sz val="11"/>
            <color theme="1"/>
            <rFont val="Calibri"/>
            <family val="2"/>
            <scheme val="minor"/>
          </rPr>
          <t>Introducir un texto con el nombre o referencia de la contratación</t>
        </r>
      </text>
    </comment>
    <comment ref="B621" authorId="1" shapeId="0" xr:uid="{9B14868C-F2B5-48AB-93B8-5432779450B0}">
      <text>
        <r>
          <rPr>
            <sz val="11"/>
            <color theme="1"/>
            <rFont val="Calibri"/>
            <family val="2"/>
            <scheme val="minor"/>
          </rPr>
          <t>Introduzca un texto con la finalidad de la contratación</t>
        </r>
      </text>
    </comment>
    <comment ref="C621" authorId="1" shapeId="0" xr:uid="{BFD8E29D-E5B0-4BD4-8CCA-DCCDBA5ECA29}">
      <text>
        <r>
          <rPr>
            <sz val="11"/>
            <color theme="1"/>
            <rFont val="Calibri"/>
            <family val="2"/>
            <scheme val="minor"/>
          </rPr>
          <t>Seleccionar un valor del listado</t>
        </r>
      </text>
    </comment>
    <comment ref="D621" authorId="1" shapeId="0" xr:uid="{97B1BE91-59EB-4642-843E-D56508746C23}">
      <text>
        <r>
          <rPr>
            <sz val="11"/>
            <color theme="1"/>
            <rFont val="Calibri"/>
            <family val="2"/>
            <scheme val="minor"/>
          </rPr>
          <t>Seleccione el tipo de procedimiento</t>
        </r>
      </text>
    </comment>
    <comment ref="E621" authorId="1" shapeId="0" xr:uid="{4B6DBB55-0306-4FA8-9BB1-77CEB50A72B4}">
      <text>
        <r>
          <rPr>
            <sz val="11"/>
            <color theme="1"/>
            <rFont val="Calibri"/>
            <family val="2"/>
            <scheme val="minor"/>
          </rPr>
          <t>Seleccione un valor de la lista</t>
        </r>
      </text>
    </comment>
    <comment ref="F621" authorId="1" shapeId="0" xr:uid="{76EE7E4B-4A9A-4C69-9100-3D1082EE620A}">
      <text>
        <r>
          <rPr>
            <sz val="11"/>
            <color theme="1"/>
            <rFont val="Calibri"/>
            <family val="2"/>
            <scheme val="minor"/>
          </rPr>
          <t>Introduzca el código SNIP</t>
        </r>
      </text>
    </comment>
    <comment ref="C622" authorId="1" shapeId="0" xr:uid="{FC3A83CB-6FE4-49EE-8406-81EBC0124FC1}">
      <text>
        <r>
          <rPr>
            <sz val="11"/>
            <color theme="1"/>
            <rFont val="Calibri"/>
            <family val="2"/>
            <scheme val="minor"/>
          </rPr>
          <t>Introduzca la fecha de inicio del proceso, en formato dd-mm-aaaa</t>
        </r>
      </text>
    </comment>
    <comment ref="F622" authorId="1" shapeId="0" xr:uid="{179150D7-B8E8-4737-A578-FCB08A960D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3" authorId="1" shapeId="0" xr:uid="{29DF1EBD-94A7-425D-9BC7-BD394335AD29}">
      <text/>
    </comment>
    <comment ref="C624" authorId="1" shapeId="0" xr:uid="{23ECC166-6A4F-4472-94AC-0C46C8861C18}">
      <text>
        <r>
          <rPr>
            <sz val="11"/>
            <color theme="1"/>
            <rFont val="Calibri"/>
            <family val="2"/>
            <scheme val="minor"/>
          </rPr>
          <t>Introduzca la fecha prevista de adjudicación, en formato dd-mm-aaaa</t>
        </r>
      </text>
    </comment>
    <comment ref="F624" authorId="1" shapeId="0" xr:uid="{FBD3097F-A8F4-4E83-93E5-9916DB26456D}">
      <text/>
    </comment>
    <comment ref="F625" authorId="1" shapeId="0" xr:uid="{0C948FB8-B369-4B26-ADCD-1E013F6F4C46}">
      <text/>
    </comment>
    <comment ref="A627" authorId="1" shapeId="0" xr:uid="{4EC3F086-AD2F-4BBC-BBE6-BF5691BF4DDA}">
      <text>
        <r>
          <rPr>
            <sz val="11"/>
            <color theme="1"/>
            <rFont val="Calibri"/>
            <family val="2"/>
            <scheme val="minor"/>
          </rPr>
          <t>Introduzca un codigo UNSPSC</t>
        </r>
      </text>
    </comment>
    <comment ref="B627" authorId="1" shapeId="0" xr:uid="{0D3154A0-D1F8-4BF4-9628-2AACB8E82D40}">
      <text>
        <r>
          <rPr>
            <sz val="11"/>
            <color theme="1"/>
            <rFont val="Calibri"/>
            <family val="2"/>
            <scheme val="minor"/>
          </rPr>
          <t>Descripción calculada automáticamente a partir de código del artículo</t>
        </r>
      </text>
    </comment>
    <comment ref="C627" authorId="1" shapeId="0" xr:uid="{6E59527C-0F82-420A-8308-E4B96A57A6C6}">
      <text>
        <r>
          <rPr>
            <sz val="11"/>
            <color theme="1"/>
            <rFont val="Calibri"/>
            <family val="2"/>
            <scheme val="minor"/>
          </rPr>
          <t>Seleccione un valor de la lista</t>
        </r>
      </text>
    </comment>
    <comment ref="D627" authorId="1" shapeId="0" xr:uid="{FF0CE189-F130-4370-9EA1-2DCADA9A6916}">
      <text>
        <r>
          <rPr>
            <sz val="11"/>
            <color theme="1"/>
            <rFont val="Calibri"/>
            <family val="2"/>
            <scheme val="minor"/>
          </rPr>
          <t>Introduzca un número con dos decimales como máximo. Debe ser igual o mayor a la "Cantidad Real Consumida"</t>
        </r>
      </text>
    </comment>
    <comment ref="E627" authorId="1" shapeId="0" xr:uid="{ABB393EB-D0C8-48C4-8F2B-D2FD5FE4CBDB}">
      <text>
        <r>
          <rPr>
            <sz val="11"/>
            <color theme="1"/>
            <rFont val="Calibri"/>
            <family val="2"/>
            <scheme val="minor"/>
          </rPr>
          <t>Introduzca un número con dos decimales como máximo</t>
        </r>
      </text>
    </comment>
    <comment ref="F627" authorId="1" shapeId="0" xr:uid="{5210A00F-0451-479C-A5F4-800B98918A50}">
      <text>
        <r>
          <rPr>
            <sz val="11"/>
            <color theme="1"/>
            <rFont val="Calibri"/>
            <family val="2"/>
            <scheme val="minor"/>
          </rPr>
          <t>Monto calculado automáticamente por el sistema</t>
        </r>
      </text>
    </comment>
    <comment ref="A632" authorId="1" shapeId="0" xr:uid="{11F82AEB-DB42-46AF-9255-A362DEC3FBBF}">
      <text>
        <r>
          <rPr>
            <sz val="11"/>
            <color theme="1"/>
            <rFont val="Calibri"/>
            <family val="2"/>
            <scheme val="minor"/>
          </rPr>
          <t>Introducir un texto con el nombre o referencia de la contratación</t>
        </r>
      </text>
    </comment>
    <comment ref="B632" authorId="1" shapeId="0" xr:uid="{7D3AE0CB-59B6-43E9-AE0B-7975AD658DE6}">
      <text>
        <r>
          <rPr>
            <sz val="11"/>
            <color theme="1"/>
            <rFont val="Calibri"/>
            <family val="2"/>
            <scheme val="minor"/>
          </rPr>
          <t>Introduzca un texto con la finalidad de la contratación</t>
        </r>
      </text>
    </comment>
    <comment ref="C632" authorId="1" shapeId="0" xr:uid="{E9EF5347-DFB9-45DE-8D3B-DCC632ECE6A5}">
      <text>
        <r>
          <rPr>
            <sz val="11"/>
            <color theme="1"/>
            <rFont val="Calibri"/>
            <family val="2"/>
            <scheme val="minor"/>
          </rPr>
          <t>Seleccionar un valor del listado</t>
        </r>
      </text>
    </comment>
    <comment ref="D632" authorId="1" shapeId="0" xr:uid="{DA86C834-1F8D-4FE9-916A-A28B7D8A16D2}">
      <text>
        <r>
          <rPr>
            <sz val="11"/>
            <color theme="1"/>
            <rFont val="Calibri"/>
            <family val="2"/>
            <scheme val="minor"/>
          </rPr>
          <t>Seleccione el tipo de procedimiento</t>
        </r>
      </text>
    </comment>
    <comment ref="E632" authorId="1" shapeId="0" xr:uid="{86D4F3BF-FB22-47A5-B271-CFBE2ADB6D6C}">
      <text>
        <r>
          <rPr>
            <sz val="11"/>
            <color theme="1"/>
            <rFont val="Calibri"/>
            <family val="2"/>
            <scheme val="minor"/>
          </rPr>
          <t>Seleccione un valor de la lista</t>
        </r>
      </text>
    </comment>
    <comment ref="F632" authorId="1" shapeId="0" xr:uid="{D997C8FF-D0ED-4902-8EFC-F35A4A206C77}">
      <text>
        <r>
          <rPr>
            <sz val="11"/>
            <color theme="1"/>
            <rFont val="Calibri"/>
            <family val="2"/>
            <scheme val="minor"/>
          </rPr>
          <t>Introduzca el código SNIP</t>
        </r>
      </text>
    </comment>
    <comment ref="C633" authorId="1" shapeId="0" xr:uid="{978C9BD6-7E78-48CC-AFE6-3CD64DA9F9BF}">
      <text>
        <r>
          <rPr>
            <sz val="11"/>
            <color theme="1"/>
            <rFont val="Calibri"/>
            <family val="2"/>
            <scheme val="minor"/>
          </rPr>
          <t>Introduzca la fecha de inicio del proceso, en formato dd-mm-aaaa</t>
        </r>
      </text>
    </comment>
    <comment ref="F633" authorId="1" shapeId="0" xr:uid="{473B83C1-6D47-4F8A-883F-5706FB6F178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4" authorId="1" shapeId="0" xr:uid="{3AA33A3C-95F3-4B3D-814C-62246D645B61}">
      <text/>
    </comment>
    <comment ref="C635" authorId="1" shapeId="0" xr:uid="{55F9FD7F-3B24-4851-9051-91579B7B0E48}">
      <text>
        <r>
          <rPr>
            <sz val="11"/>
            <color theme="1"/>
            <rFont val="Calibri"/>
            <family val="2"/>
            <scheme val="minor"/>
          </rPr>
          <t>Introduzca la fecha prevista de adjudicación, en formato dd-mm-aaaa</t>
        </r>
      </text>
    </comment>
    <comment ref="F635" authorId="1" shapeId="0" xr:uid="{13DCB945-628A-4FF2-9598-153AA0E5E32C}">
      <text/>
    </comment>
    <comment ref="F636" authorId="1" shapeId="0" xr:uid="{695E55EA-0FC7-4BEC-8EBC-BF3B2C7BB97C}">
      <text/>
    </comment>
    <comment ref="A638" authorId="1" shapeId="0" xr:uid="{FAAAAD43-2A7F-4923-8EBB-D03E8240B290}">
      <text>
        <r>
          <rPr>
            <sz val="11"/>
            <color theme="1"/>
            <rFont val="Calibri"/>
            <family val="2"/>
            <scheme val="minor"/>
          </rPr>
          <t>Introduzca un codigo UNSPSC</t>
        </r>
      </text>
    </comment>
    <comment ref="B638" authorId="1" shapeId="0" xr:uid="{50957FBE-8B49-4F82-8AE1-14389FD791F8}">
      <text>
        <r>
          <rPr>
            <sz val="11"/>
            <color theme="1"/>
            <rFont val="Calibri"/>
            <family val="2"/>
            <scheme val="minor"/>
          </rPr>
          <t>Descripción calculada automáticamente a partir de código del artículo</t>
        </r>
      </text>
    </comment>
    <comment ref="C638" authorId="1" shapeId="0" xr:uid="{BA014450-75AF-4C98-8EEB-0795F1B95E44}">
      <text>
        <r>
          <rPr>
            <sz val="11"/>
            <color theme="1"/>
            <rFont val="Calibri"/>
            <family val="2"/>
            <scheme val="minor"/>
          </rPr>
          <t>Seleccione un valor de la lista</t>
        </r>
      </text>
    </comment>
    <comment ref="D638" authorId="1" shapeId="0" xr:uid="{F4FC1041-CD4B-4D79-A71F-7491C7C266B9}">
      <text>
        <r>
          <rPr>
            <sz val="11"/>
            <color theme="1"/>
            <rFont val="Calibri"/>
            <family val="2"/>
            <scheme val="minor"/>
          </rPr>
          <t>Introduzca un número con dos decimales como máximo. Debe ser igual o mayor a la "Cantidad Real Consumida"</t>
        </r>
      </text>
    </comment>
    <comment ref="E638" authorId="1" shapeId="0" xr:uid="{5AA833BB-DD50-4D94-A71C-5630CE22FDE0}">
      <text>
        <r>
          <rPr>
            <sz val="11"/>
            <color theme="1"/>
            <rFont val="Calibri"/>
            <family val="2"/>
            <scheme val="minor"/>
          </rPr>
          <t>Introduzca un número con dos decimales como máximo</t>
        </r>
      </text>
    </comment>
    <comment ref="F638" authorId="1" shapeId="0" xr:uid="{9078258D-EA47-4483-B0F7-7B2372744F40}">
      <text>
        <r>
          <rPr>
            <sz val="11"/>
            <color theme="1"/>
            <rFont val="Calibri"/>
            <family val="2"/>
            <scheme val="minor"/>
          </rPr>
          <t>Monto calculado automáticamente por el sistema</t>
        </r>
      </text>
    </comment>
    <comment ref="A643" authorId="1" shapeId="0" xr:uid="{7CEAA956-EA17-421D-9C8F-8D3EFED4C6AC}">
      <text>
        <r>
          <rPr>
            <sz val="11"/>
            <color theme="1"/>
            <rFont val="Calibri"/>
            <family val="2"/>
            <scheme val="minor"/>
          </rPr>
          <t>Introducir un texto con el nombre o referencia de la contratación</t>
        </r>
      </text>
    </comment>
    <comment ref="B643" authorId="1" shapeId="0" xr:uid="{FDFD6057-C0C5-453A-BE65-C2595F6ED62D}">
      <text>
        <r>
          <rPr>
            <sz val="11"/>
            <color theme="1"/>
            <rFont val="Calibri"/>
            <family val="2"/>
            <scheme val="minor"/>
          </rPr>
          <t>Introduzca un texto con la finalidad de la contratación</t>
        </r>
      </text>
    </comment>
    <comment ref="C643" authorId="1" shapeId="0" xr:uid="{94C37724-D27B-4F85-A08D-DCF70F5F4D5E}">
      <text>
        <r>
          <rPr>
            <sz val="11"/>
            <color theme="1"/>
            <rFont val="Calibri"/>
            <family val="2"/>
            <scheme val="minor"/>
          </rPr>
          <t>Seleccionar un valor del listado</t>
        </r>
      </text>
    </comment>
    <comment ref="D643" authorId="1" shapeId="0" xr:uid="{E530B84D-3AE5-4F89-9CCA-BD3A17D30486}">
      <text>
        <r>
          <rPr>
            <sz val="11"/>
            <color theme="1"/>
            <rFont val="Calibri"/>
            <family val="2"/>
            <scheme val="minor"/>
          </rPr>
          <t>Seleccione el tipo de procedimiento</t>
        </r>
      </text>
    </comment>
    <comment ref="E643" authorId="1" shapeId="0" xr:uid="{C61675EE-66FD-43F4-BBF1-18F324D68BC8}">
      <text>
        <r>
          <rPr>
            <sz val="11"/>
            <color theme="1"/>
            <rFont val="Calibri"/>
            <family val="2"/>
            <scheme val="minor"/>
          </rPr>
          <t>Seleccione un valor de la lista</t>
        </r>
      </text>
    </comment>
    <comment ref="F643" authorId="1" shapeId="0" xr:uid="{2AD2272F-B36A-4ED7-A375-C59DA65468D3}">
      <text>
        <r>
          <rPr>
            <sz val="11"/>
            <color theme="1"/>
            <rFont val="Calibri"/>
            <family val="2"/>
            <scheme val="minor"/>
          </rPr>
          <t>Introduzca el código SNIP</t>
        </r>
      </text>
    </comment>
    <comment ref="C644" authorId="1" shapeId="0" xr:uid="{04F15B29-55D1-4D36-B377-17F33B1BF521}">
      <text>
        <r>
          <rPr>
            <sz val="11"/>
            <color theme="1"/>
            <rFont val="Calibri"/>
            <family val="2"/>
            <scheme val="minor"/>
          </rPr>
          <t>Introduzca la fecha de inicio del proceso, en formato dd-mm-aaaa</t>
        </r>
      </text>
    </comment>
    <comment ref="F644" authorId="1" shapeId="0" xr:uid="{AD37349B-2389-433F-8275-A47DAE26B89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5" authorId="1" shapeId="0" xr:uid="{B3A2EE2A-1165-4E9C-B50D-CD6566E84B33}">
      <text/>
    </comment>
    <comment ref="C646" authorId="1" shapeId="0" xr:uid="{B50D9A81-A888-44FB-B1A8-257FE6B8D2E8}">
      <text>
        <r>
          <rPr>
            <sz val="11"/>
            <color theme="1"/>
            <rFont val="Calibri"/>
            <family val="2"/>
            <scheme val="minor"/>
          </rPr>
          <t>Introduzca la fecha prevista de adjudicación, en formato dd-mm-aaaa</t>
        </r>
      </text>
    </comment>
    <comment ref="F646" authorId="1" shapeId="0" xr:uid="{E9B6FC65-C05E-4375-A419-8BA45E92B791}">
      <text/>
    </comment>
    <comment ref="F647" authorId="1" shapeId="0" xr:uid="{915C6EF4-85EC-4CCD-A944-A25DDBE0C2CC}">
      <text/>
    </comment>
    <comment ref="A649" authorId="1" shapeId="0" xr:uid="{48549A88-11EF-4077-BF82-7DD14CF9B1E6}">
      <text>
        <r>
          <rPr>
            <sz val="11"/>
            <color theme="1"/>
            <rFont val="Calibri"/>
            <family val="2"/>
            <scheme val="minor"/>
          </rPr>
          <t>Introduzca un codigo UNSPSC</t>
        </r>
      </text>
    </comment>
    <comment ref="B649" authorId="1" shapeId="0" xr:uid="{0ADBA8AD-4EF1-4A64-BB1C-FCB657FBB45A}">
      <text>
        <r>
          <rPr>
            <sz val="11"/>
            <color theme="1"/>
            <rFont val="Calibri"/>
            <family val="2"/>
            <scheme val="minor"/>
          </rPr>
          <t>Descripción calculada automáticamente a partir de código del artículo</t>
        </r>
      </text>
    </comment>
    <comment ref="C649" authorId="1" shapeId="0" xr:uid="{43916675-F937-4A29-BF6F-7DC268E64DDD}">
      <text>
        <r>
          <rPr>
            <sz val="11"/>
            <color theme="1"/>
            <rFont val="Calibri"/>
            <family val="2"/>
            <scheme val="minor"/>
          </rPr>
          <t>Seleccione un valor de la lista</t>
        </r>
      </text>
    </comment>
    <comment ref="D649" authorId="1" shapeId="0" xr:uid="{38D38508-8CC2-40FB-9837-83EBD39F2CAD}">
      <text>
        <r>
          <rPr>
            <sz val="11"/>
            <color theme="1"/>
            <rFont val="Calibri"/>
            <family val="2"/>
            <scheme val="minor"/>
          </rPr>
          <t>Introduzca un número con dos decimales como máximo. Debe ser igual o mayor a la "Cantidad Real Consumida"</t>
        </r>
      </text>
    </comment>
    <comment ref="E649" authorId="1" shapeId="0" xr:uid="{AB63CD17-F484-4A81-AFB2-723229F6DEC8}">
      <text>
        <r>
          <rPr>
            <sz val="11"/>
            <color theme="1"/>
            <rFont val="Calibri"/>
            <family val="2"/>
            <scheme val="minor"/>
          </rPr>
          <t>Introduzca un número con dos decimales como máximo</t>
        </r>
      </text>
    </comment>
    <comment ref="F649" authorId="1" shapeId="0" xr:uid="{92D7E1A3-E24D-4EEC-ABFE-94A94545EDD3}">
      <text>
        <r>
          <rPr>
            <sz val="11"/>
            <color theme="1"/>
            <rFont val="Calibri"/>
            <family val="2"/>
            <scheme val="minor"/>
          </rPr>
          <t>Monto calculado automáticamente por el sistema</t>
        </r>
      </text>
    </comment>
    <comment ref="A703" authorId="1" shapeId="0" xr:uid="{4D399E0C-2ECA-43D3-8BFF-81244C414996}">
      <text>
        <r>
          <rPr>
            <sz val="11"/>
            <color theme="1"/>
            <rFont val="Calibri"/>
            <family val="2"/>
            <scheme val="minor"/>
          </rPr>
          <t>Introducir un texto con el nombre o referencia de la contratación</t>
        </r>
      </text>
    </comment>
    <comment ref="B703" authorId="1" shapeId="0" xr:uid="{6565E351-E423-43E4-B6D8-BD0F9C0888F3}">
      <text>
        <r>
          <rPr>
            <sz val="11"/>
            <color theme="1"/>
            <rFont val="Calibri"/>
            <family val="2"/>
            <scheme val="minor"/>
          </rPr>
          <t>Introduzca un texto con la finalidad de la contratación</t>
        </r>
      </text>
    </comment>
    <comment ref="C703" authorId="1" shapeId="0" xr:uid="{F3B7075B-6A98-4283-84EF-7D0C4599A2C0}">
      <text>
        <r>
          <rPr>
            <sz val="11"/>
            <color theme="1"/>
            <rFont val="Calibri"/>
            <family val="2"/>
            <scheme val="minor"/>
          </rPr>
          <t>Seleccionar un valor del listado</t>
        </r>
      </text>
    </comment>
    <comment ref="D703" authorId="1" shapeId="0" xr:uid="{817DC2EF-717A-4498-89E5-219E11789903}">
      <text>
        <r>
          <rPr>
            <sz val="11"/>
            <color theme="1"/>
            <rFont val="Calibri"/>
            <family val="2"/>
            <scheme val="minor"/>
          </rPr>
          <t>Seleccione el tipo de procedimiento</t>
        </r>
      </text>
    </comment>
    <comment ref="E703" authorId="1" shapeId="0" xr:uid="{CEFE3900-2182-49F3-85BA-0753F5C29257}">
      <text>
        <r>
          <rPr>
            <sz val="11"/>
            <color theme="1"/>
            <rFont val="Calibri"/>
            <family val="2"/>
            <scheme val="minor"/>
          </rPr>
          <t>Seleccione un valor de la lista</t>
        </r>
      </text>
    </comment>
    <comment ref="F703" authorId="1" shapeId="0" xr:uid="{356F4D43-30B1-4CD1-AE1D-A99E4EC07F65}">
      <text>
        <r>
          <rPr>
            <sz val="11"/>
            <color theme="1"/>
            <rFont val="Calibri"/>
            <family val="2"/>
            <scheme val="minor"/>
          </rPr>
          <t>Introduzca el código SNIP</t>
        </r>
      </text>
    </comment>
    <comment ref="C704" authorId="1" shapeId="0" xr:uid="{83A32AED-17D7-4024-A392-BD4714ED8975}">
      <text>
        <r>
          <rPr>
            <sz val="11"/>
            <color theme="1"/>
            <rFont val="Calibri"/>
            <family val="2"/>
            <scheme val="minor"/>
          </rPr>
          <t>Introduzca la fecha de inicio del proceso, en formato dd-mm-aaaa</t>
        </r>
      </text>
    </comment>
    <comment ref="F704" authorId="1" shapeId="0" xr:uid="{51D89CAA-E288-4302-BFC9-C51B49B587D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5" authorId="1" shapeId="0" xr:uid="{E32B40EF-9563-4857-982A-3D207E08819E}">
      <text/>
    </comment>
    <comment ref="C706" authorId="1" shapeId="0" xr:uid="{3320D594-C3B5-41F1-8EBA-59BCDC361417}">
      <text>
        <r>
          <rPr>
            <sz val="11"/>
            <color theme="1"/>
            <rFont val="Calibri"/>
            <family val="2"/>
            <scheme val="minor"/>
          </rPr>
          <t>Introduzca la fecha prevista de adjudicación, en formato dd-mm-aaaa</t>
        </r>
      </text>
    </comment>
    <comment ref="F706" authorId="1" shapeId="0" xr:uid="{626333D8-1C6D-4E50-935F-583783CA794D}">
      <text/>
    </comment>
    <comment ref="F707" authorId="1" shapeId="0" xr:uid="{F9541F28-417F-40AC-A5D4-E985859A3EE8}">
      <text/>
    </comment>
    <comment ref="A709" authorId="1" shapeId="0" xr:uid="{A9BA1791-EF2F-43B7-A9A0-005E8A782E1C}">
      <text>
        <r>
          <rPr>
            <sz val="11"/>
            <color theme="1"/>
            <rFont val="Calibri"/>
            <family val="2"/>
            <scheme val="minor"/>
          </rPr>
          <t>Introduzca un codigo UNSPSC</t>
        </r>
      </text>
    </comment>
    <comment ref="B709" authorId="1" shapeId="0" xr:uid="{17B2074B-4CEA-4266-8F0A-CB7AFA83B00A}">
      <text>
        <r>
          <rPr>
            <sz val="11"/>
            <color theme="1"/>
            <rFont val="Calibri"/>
            <family val="2"/>
            <scheme val="minor"/>
          </rPr>
          <t>Descripción calculada automáticamente a partir de código del artículo</t>
        </r>
      </text>
    </comment>
    <comment ref="C709" authorId="1" shapeId="0" xr:uid="{1A5F9EFA-5BBC-4732-9751-632E7D406546}">
      <text>
        <r>
          <rPr>
            <sz val="11"/>
            <color theme="1"/>
            <rFont val="Calibri"/>
            <family val="2"/>
            <scheme val="minor"/>
          </rPr>
          <t>Seleccione un valor de la lista</t>
        </r>
      </text>
    </comment>
    <comment ref="D709" authorId="1" shapeId="0" xr:uid="{8B7F0D26-806D-47F4-B457-3021C2555AD1}">
      <text>
        <r>
          <rPr>
            <sz val="11"/>
            <color theme="1"/>
            <rFont val="Calibri"/>
            <family val="2"/>
            <scheme val="minor"/>
          </rPr>
          <t>Introduzca un número con dos decimales como máximo. Debe ser igual o mayor a la "Cantidad Real Consumida"</t>
        </r>
      </text>
    </comment>
    <comment ref="E709" authorId="1" shapeId="0" xr:uid="{26D11E97-1CE7-4736-A1E0-B9923E3F29CF}">
      <text>
        <r>
          <rPr>
            <sz val="11"/>
            <color theme="1"/>
            <rFont val="Calibri"/>
            <family val="2"/>
            <scheme val="minor"/>
          </rPr>
          <t>Introduzca un número con dos decimales como máximo</t>
        </r>
      </text>
    </comment>
    <comment ref="F709" authorId="1" shapeId="0" xr:uid="{014AC71A-DC62-48B3-AC77-926017718CCD}">
      <text>
        <r>
          <rPr>
            <sz val="11"/>
            <color theme="1"/>
            <rFont val="Calibri"/>
            <family val="2"/>
            <scheme val="minor"/>
          </rPr>
          <t>Monto calculado automáticamente por el sistema</t>
        </r>
      </text>
    </comment>
    <comment ref="A737" authorId="1" shapeId="0" xr:uid="{52D8055B-7036-4FC1-A260-A17DDB77704F}">
      <text>
        <r>
          <rPr>
            <sz val="11"/>
            <color theme="1"/>
            <rFont val="Calibri"/>
            <family val="2"/>
            <scheme val="minor"/>
          </rPr>
          <t>Introducir un texto con el nombre o referencia de la contratación</t>
        </r>
      </text>
    </comment>
    <comment ref="B737" authorId="1" shapeId="0" xr:uid="{F3DB9882-1794-4E02-BD9B-D44F0E0961C4}">
      <text>
        <r>
          <rPr>
            <sz val="11"/>
            <color theme="1"/>
            <rFont val="Calibri"/>
            <family val="2"/>
            <scheme val="minor"/>
          </rPr>
          <t>Introduzca un texto con la finalidad de la contratación</t>
        </r>
      </text>
    </comment>
    <comment ref="C737" authorId="1" shapeId="0" xr:uid="{F7C1010C-70B9-45BE-BE62-46773A9100C7}">
      <text>
        <r>
          <rPr>
            <sz val="11"/>
            <color theme="1"/>
            <rFont val="Calibri"/>
            <family val="2"/>
            <scheme val="minor"/>
          </rPr>
          <t>Seleccionar un valor del listado</t>
        </r>
      </text>
    </comment>
    <comment ref="D737" authorId="1" shapeId="0" xr:uid="{601B4F11-7161-43A1-8B26-DF15D1CC0041}">
      <text>
        <r>
          <rPr>
            <sz val="11"/>
            <color theme="1"/>
            <rFont val="Calibri"/>
            <family val="2"/>
            <scheme val="minor"/>
          </rPr>
          <t>Seleccione el tipo de procedimiento</t>
        </r>
      </text>
    </comment>
    <comment ref="E737" authorId="1" shapeId="0" xr:uid="{F5DD1749-6DEC-4BA0-A5B6-D853F08147ED}">
      <text>
        <r>
          <rPr>
            <sz val="11"/>
            <color theme="1"/>
            <rFont val="Calibri"/>
            <family val="2"/>
            <scheme val="minor"/>
          </rPr>
          <t>Seleccione un valor de la lista</t>
        </r>
      </text>
    </comment>
    <comment ref="F737" authorId="1" shapeId="0" xr:uid="{EA357390-DD44-42E6-BD7F-291A2BC149E8}">
      <text>
        <r>
          <rPr>
            <sz val="11"/>
            <color theme="1"/>
            <rFont val="Calibri"/>
            <family val="2"/>
            <scheme val="minor"/>
          </rPr>
          <t>Introduzca el código SNIP</t>
        </r>
      </text>
    </comment>
    <comment ref="C738" authorId="1" shapeId="0" xr:uid="{1C84BDB3-A527-4871-B4EB-86E7BB67C9B0}">
      <text>
        <r>
          <rPr>
            <sz val="11"/>
            <color theme="1"/>
            <rFont val="Calibri"/>
            <family val="2"/>
            <scheme val="minor"/>
          </rPr>
          <t>Introduzca la fecha de inicio del proceso, en formato dd-mm-aaaa</t>
        </r>
      </text>
    </comment>
    <comment ref="F738" authorId="1" shapeId="0" xr:uid="{C616891C-A5AA-4E14-BAC2-13E358010AF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9" authorId="1" shapeId="0" xr:uid="{E8E185F5-DB78-4376-819D-96397920223B}">
      <text/>
    </comment>
    <comment ref="C740" authorId="1" shapeId="0" xr:uid="{75261FCE-5F5E-430B-BDF9-8EB8DA2CD26D}">
      <text>
        <r>
          <rPr>
            <sz val="11"/>
            <color theme="1"/>
            <rFont val="Calibri"/>
            <family val="2"/>
            <scheme val="minor"/>
          </rPr>
          <t>Introduzca la fecha prevista de adjudicación, en formato dd-mm-aaaa</t>
        </r>
      </text>
    </comment>
    <comment ref="F740" authorId="1" shapeId="0" xr:uid="{C5900AA3-257F-4E88-9F0D-891681F4D52C}">
      <text/>
    </comment>
    <comment ref="F741" authorId="1" shapeId="0" xr:uid="{6ABE2038-ECB7-4BA3-9345-971DDF482FF7}">
      <text/>
    </comment>
    <comment ref="A743" authorId="1" shapeId="0" xr:uid="{83FA7E79-AD14-4EBB-8898-4B1477D32416}">
      <text>
        <r>
          <rPr>
            <sz val="11"/>
            <color theme="1"/>
            <rFont val="Calibri"/>
            <family val="2"/>
            <scheme val="minor"/>
          </rPr>
          <t>Introduzca un codigo UNSPSC</t>
        </r>
      </text>
    </comment>
    <comment ref="B743" authorId="1" shapeId="0" xr:uid="{4996996A-6B29-4037-A6E2-E7F8555C4C37}">
      <text>
        <r>
          <rPr>
            <sz val="11"/>
            <color theme="1"/>
            <rFont val="Calibri"/>
            <family val="2"/>
            <scheme val="minor"/>
          </rPr>
          <t>Descripción calculada automáticamente a partir de código del artículo</t>
        </r>
      </text>
    </comment>
    <comment ref="C743" authorId="1" shapeId="0" xr:uid="{298B79BA-6C82-442A-BCFE-76AF8D27E50B}">
      <text>
        <r>
          <rPr>
            <sz val="11"/>
            <color theme="1"/>
            <rFont val="Calibri"/>
            <family val="2"/>
            <scheme val="minor"/>
          </rPr>
          <t>Seleccione un valor de la lista</t>
        </r>
      </text>
    </comment>
    <comment ref="D743" authorId="1" shapeId="0" xr:uid="{94294C65-75DE-4FA3-A367-3EC927DBA24C}">
      <text>
        <r>
          <rPr>
            <sz val="11"/>
            <color theme="1"/>
            <rFont val="Calibri"/>
            <family val="2"/>
            <scheme val="minor"/>
          </rPr>
          <t>Introduzca un número con dos decimales como máximo. Debe ser igual o mayor a la "Cantidad Real Consumida"</t>
        </r>
      </text>
    </comment>
    <comment ref="E743" authorId="1" shapeId="0" xr:uid="{E4DBCA8C-5277-4826-905D-9AFA3E1CDD15}">
      <text>
        <r>
          <rPr>
            <sz val="11"/>
            <color theme="1"/>
            <rFont val="Calibri"/>
            <family val="2"/>
            <scheme val="minor"/>
          </rPr>
          <t>Introduzca un número con dos decimales como máximo</t>
        </r>
      </text>
    </comment>
    <comment ref="F743" authorId="1" shapeId="0" xr:uid="{0E097A57-4757-47B7-B4DD-1F91B0F0897B}">
      <text>
        <r>
          <rPr>
            <sz val="11"/>
            <color theme="1"/>
            <rFont val="Calibri"/>
            <family val="2"/>
            <scheme val="minor"/>
          </rPr>
          <t>Monto calculado automáticamente por el sistema</t>
        </r>
      </text>
    </comment>
    <comment ref="A771" authorId="1" shapeId="0" xr:uid="{6790CDB0-FF70-4B13-9BD5-A3663A232E78}">
      <text>
        <r>
          <rPr>
            <sz val="11"/>
            <color theme="1"/>
            <rFont val="Calibri"/>
            <family val="2"/>
            <scheme val="minor"/>
          </rPr>
          <t>Introducir un texto con el nombre o referencia de la contratación</t>
        </r>
      </text>
    </comment>
    <comment ref="B771" authorId="1" shapeId="0" xr:uid="{8F9BDDD0-BA60-491E-AA4B-CE72CAB2CF91}">
      <text>
        <r>
          <rPr>
            <sz val="11"/>
            <color theme="1"/>
            <rFont val="Calibri"/>
            <family val="2"/>
            <scheme val="minor"/>
          </rPr>
          <t>Introduzca un texto con la finalidad de la contratación</t>
        </r>
      </text>
    </comment>
    <comment ref="C771" authorId="1" shapeId="0" xr:uid="{A7E47162-F1C1-4B20-B3F7-6940AFC5386F}">
      <text>
        <r>
          <rPr>
            <sz val="11"/>
            <color theme="1"/>
            <rFont val="Calibri"/>
            <family val="2"/>
            <scheme val="minor"/>
          </rPr>
          <t>Seleccionar un valor del listado</t>
        </r>
      </text>
    </comment>
    <comment ref="D771" authorId="1" shapeId="0" xr:uid="{E02F81CF-6FF4-4A72-889F-3FE93CC91B83}">
      <text>
        <r>
          <rPr>
            <sz val="11"/>
            <color theme="1"/>
            <rFont val="Calibri"/>
            <family val="2"/>
            <scheme val="minor"/>
          </rPr>
          <t>Seleccione el tipo de procedimiento</t>
        </r>
      </text>
    </comment>
    <comment ref="E771" authorId="1" shapeId="0" xr:uid="{FDBD6625-EFBC-4354-B271-F653BA8D08D7}">
      <text>
        <r>
          <rPr>
            <sz val="11"/>
            <color theme="1"/>
            <rFont val="Calibri"/>
            <family val="2"/>
            <scheme val="minor"/>
          </rPr>
          <t>Seleccione un valor de la lista</t>
        </r>
      </text>
    </comment>
    <comment ref="F771" authorId="1" shapeId="0" xr:uid="{7205044F-2B37-4868-BADD-03C46E20335C}">
      <text>
        <r>
          <rPr>
            <sz val="11"/>
            <color theme="1"/>
            <rFont val="Calibri"/>
            <family val="2"/>
            <scheme val="minor"/>
          </rPr>
          <t>Introduzca el código SNIP</t>
        </r>
      </text>
    </comment>
    <comment ref="C772" authorId="1" shapeId="0" xr:uid="{22E46576-BC9F-484F-8500-F8DD3E14363B}">
      <text>
        <r>
          <rPr>
            <sz val="11"/>
            <color theme="1"/>
            <rFont val="Calibri"/>
            <family val="2"/>
            <scheme val="minor"/>
          </rPr>
          <t>Introduzca la fecha de inicio del proceso, en formato dd-mm-aaaa</t>
        </r>
      </text>
    </comment>
    <comment ref="F772" authorId="1" shapeId="0" xr:uid="{972C0E13-5084-4A10-87A1-59A3993E695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3" authorId="1" shapeId="0" xr:uid="{D5D9727D-60B5-4E88-851E-650652C72BC9}">
      <text/>
    </comment>
    <comment ref="C774" authorId="1" shapeId="0" xr:uid="{4177DE02-F36E-4308-99A6-2B3B4D9EEE0F}">
      <text>
        <r>
          <rPr>
            <sz val="11"/>
            <color theme="1"/>
            <rFont val="Calibri"/>
            <family val="2"/>
            <scheme val="minor"/>
          </rPr>
          <t>Introduzca la fecha prevista de adjudicación, en formato dd-mm-aaaa</t>
        </r>
      </text>
    </comment>
    <comment ref="F774" authorId="1" shapeId="0" xr:uid="{FA933B99-5678-49DC-AB87-A4D87AB7067C}">
      <text/>
    </comment>
    <comment ref="F775" authorId="1" shapeId="0" xr:uid="{64A58675-1938-4C4A-A7F8-6B07D21E71D0}">
      <text/>
    </comment>
    <comment ref="A777" authorId="1" shapeId="0" xr:uid="{064920AF-EB03-4D27-9239-E733B6C55CDF}">
      <text>
        <r>
          <rPr>
            <sz val="11"/>
            <color theme="1"/>
            <rFont val="Calibri"/>
            <family val="2"/>
            <scheme val="minor"/>
          </rPr>
          <t>Introduzca un codigo UNSPSC</t>
        </r>
      </text>
    </comment>
    <comment ref="B777" authorId="1" shapeId="0" xr:uid="{95013EC0-112A-443F-AA74-85B413B0986B}">
      <text>
        <r>
          <rPr>
            <sz val="11"/>
            <color theme="1"/>
            <rFont val="Calibri"/>
            <family val="2"/>
            <scheme val="minor"/>
          </rPr>
          <t>Descripción calculada automáticamente a partir de código del artículo</t>
        </r>
      </text>
    </comment>
    <comment ref="C777" authorId="1" shapeId="0" xr:uid="{D93FD3BA-6AFE-4694-810D-19CA1529B609}">
      <text>
        <r>
          <rPr>
            <sz val="11"/>
            <color theme="1"/>
            <rFont val="Calibri"/>
            <family val="2"/>
            <scheme val="minor"/>
          </rPr>
          <t>Seleccione un valor de la lista</t>
        </r>
      </text>
    </comment>
    <comment ref="D777" authorId="1" shapeId="0" xr:uid="{F2D7D941-890E-4B4F-A5F0-5B16D34AEE88}">
      <text>
        <r>
          <rPr>
            <sz val="11"/>
            <color theme="1"/>
            <rFont val="Calibri"/>
            <family val="2"/>
            <scheme val="minor"/>
          </rPr>
          <t>Introduzca un número con dos decimales como máximo. Debe ser igual o mayor a la "Cantidad Real Consumida"</t>
        </r>
      </text>
    </comment>
    <comment ref="E777" authorId="1" shapeId="0" xr:uid="{DF57360D-5D7B-4B3F-BA81-1167F3BA6F38}">
      <text>
        <r>
          <rPr>
            <sz val="11"/>
            <color theme="1"/>
            <rFont val="Calibri"/>
            <family val="2"/>
            <scheme val="minor"/>
          </rPr>
          <t>Introduzca un número con dos decimales como máximo</t>
        </r>
      </text>
    </comment>
    <comment ref="F777" authorId="1" shapeId="0" xr:uid="{3B7BD9F8-1335-45BB-8EE5-477F7DB1AF03}">
      <text>
        <r>
          <rPr>
            <sz val="11"/>
            <color theme="1"/>
            <rFont val="Calibri"/>
            <family val="2"/>
            <scheme val="minor"/>
          </rPr>
          <t>Monto calculado automáticamente por el sistema</t>
        </r>
      </text>
    </comment>
    <comment ref="A794" authorId="1" shapeId="0" xr:uid="{5F3F2C22-0CB9-402F-9A8B-C44799F8C52F}">
      <text>
        <r>
          <rPr>
            <sz val="11"/>
            <color theme="1"/>
            <rFont val="Calibri"/>
            <family val="2"/>
            <scheme val="minor"/>
          </rPr>
          <t>Introducir un texto con el nombre o referencia de la contratación</t>
        </r>
      </text>
    </comment>
    <comment ref="B794" authorId="1" shapeId="0" xr:uid="{D16B99C0-7464-49AA-B68C-7F6D1E95279F}">
      <text>
        <r>
          <rPr>
            <sz val="11"/>
            <color theme="1"/>
            <rFont val="Calibri"/>
            <family val="2"/>
            <scheme val="minor"/>
          </rPr>
          <t>Introduzca un texto con la finalidad de la contratación</t>
        </r>
      </text>
    </comment>
    <comment ref="C794" authorId="1" shapeId="0" xr:uid="{5F68B913-1CB1-44ED-BD5F-E0C8ECBD7E47}">
      <text>
        <r>
          <rPr>
            <sz val="11"/>
            <color theme="1"/>
            <rFont val="Calibri"/>
            <family val="2"/>
            <scheme val="minor"/>
          </rPr>
          <t>Seleccionar un valor del listado</t>
        </r>
      </text>
    </comment>
    <comment ref="D794" authorId="1" shapeId="0" xr:uid="{19AD4415-4794-4932-97CB-AD867F94A60C}">
      <text>
        <r>
          <rPr>
            <sz val="11"/>
            <color theme="1"/>
            <rFont val="Calibri"/>
            <family val="2"/>
            <scheme val="minor"/>
          </rPr>
          <t>Seleccione el tipo de procedimiento</t>
        </r>
      </text>
    </comment>
    <comment ref="E794" authorId="1" shapeId="0" xr:uid="{2D0EAC98-5BC0-46E4-9219-020CD7A2215B}">
      <text>
        <r>
          <rPr>
            <sz val="11"/>
            <color theme="1"/>
            <rFont val="Calibri"/>
            <family val="2"/>
            <scheme val="minor"/>
          </rPr>
          <t>Seleccione un valor de la lista</t>
        </r>
      </text>
    </comment>
    <comment ref="F794" authorId="1" shapeId="0" xr:uid="{240D42BE-2202-401B-80A7-B7E97D220464}">
      <text>
        <r>
          <rPr>
            <sz val="11"/>
            <color theme="1"/>
            <rFont val="Calibri"/>
            <family val="2"/>
            <scheme val="minor"/>
          </rPr>
          <t>Introduzca el código SNIP</t>
        </r>
      </text>
    </comment>
    <comment ref="C795" authorId="1" shapeId="0" xr:uid="{A7C7C160-5400-42E7-83A6-39BFF375B88A}">
      <text>
        <r>
          <rPr>
            <sz val="11"/>
            <color theme="1"/>
            <rFont val="Calibri"/>
            <family val="2"/>
            <scheme val="minor"/>
          </rPr>
          <t>Introduzca la fecha de inicio del proceso, en formato dd-mm-aaaa</t>
        </r>
      </text>
    </comment>
    <comment ref="F795" authorId="1" shapeId="0" xr:uid="{77FE2133-D88A-4B64-B3F8-75266E98B6F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6" authorId="1" shapeId="0" xr:uid="{10938750-0934-41F5-B3FA-79311C9E0E98}">
      <text/>
    </comment>
    <comment ref="C797" authorId="1" shapeId="0" xr:uid="{95F51BB3-7DB0-43D8-91D7-7911B6564663}">
      <text>
        <r>
          <rPr>
            <sz val="11"/>
            <color theme="1"/>
            <rFont val="Calibri"/>
            <family val="2"/>
            <scheme val="minor"/>
          </rPr>
          <t>Introduzca la fecha prevista de adjudicación, en formato dd-mm-aaaa</t>
        </r>
      </text>
    </comment>
    <comment ref="F797" authorId="1" shapeId="0" xr:uid="{AA345D8E-4AAE-4E1D-9AB5-286FBCACC76E}">
      <text/>
    </comment>
    <comment ref="F798" authorId="1" shapeId="0" xr:uid="{69E8EBE6-3CA6-493B-85B2-00F57ED0B0E0}">
      <text/>
    </comment>
    <comment ref="A800" authorId="1" shapeId="0" xr:uid="{04F77FD4-7F5B-4DBB-A265-FBD5582B1CDA}">
      <text>
        <r>
          <rPr>
            <sz val="11"/>
            <color theme="1"/>
            <rFont val="Calibri"/>
            <family val="2"/>
            <scheme val="minor"/>
          </rPr>
          <t>Introduzca un codigo UNSPSC</t>
        </r>
      </text>
    </comment>
    <comment ref="B800" authorId="1" shapeId="0" xr:uid="{15DF4EBE-754E-4E07-B790-53FBBC48C64B}">
      <text>
        <r>
          <rPr>
            <sz val="11"/>
            <color theme="1"/>
            <rFont val="Calibri"/>
            <family val="2"/>
            <scheme val="minor"/>
          </rPr>
          <t>Descripción calculada automáticamente a partir de código del artículo</t>
        </r>
      </text>
    </comment>
    <comment ref="C800" authorId="1" shapeId="0" xr:uid="{F89409AD-B84D-43F6-A585-3D25FF5634F7}">
      <text>
        <r>
          <rPr>
            <sz val="11"/>
            <color theme="1"/>
            <rFont val="Calibri"/>
            <family val="2"/>
            <scheme val="minor"/>
          </rPr>
          <t>Seleccione un valor de la lista</t>
        </r>
      </text>
    </comment>
    <comment ref="D800" authorId="1" shapeId="0" xr:uid="{04325B65-5981-40FF-A76B-F132D67BBA0C}">
      <text>
        <r>
          <rPr>
            <sz val="11"/>
            <color theme="1"/>
            <rFont val="Calibri"/>
            <family val="2"/>
            <scheme val="minor"/>
          </rPr>
          <t>Introduzca un número con dos decimales como máximo. Debe ser igual o mayor a la "Cantidad Real Consumida"</t>
        </r>
      </text>
    </comment>
    <comment ref="E800" authorId="1" shapeId="0" xr:uid="{70B7CE47-9CE9-45A5-A374-506B8C318374}">
      <text>
        <r>
          <rPr>
            <sz val="11"/>
            <color theme="1"/>
            <rFont val="Calibri"/>
            <family val="2"/>
            <scheme val="minor"/>
          </rPr>
          <t>Introduzca un número con dos decimales como máximo</t>
        </r>
      </text>
    </comment>
    <comment ref="F800" authorId="1" shapeId="0" xr:uid="{AE4585EC-7F1A-4532-825E-6C4FA5DCC745}">
      <text>
        <r>
          <rPr>
            <sz val="11"/>
            <color theme="1"/>
            <rFont val="Calibri"/>
            <family val="2"/>
            <scheme val="minor"/>
          </rPr>
          <t>Monto calculado automáticamente por el sistema</t>
        </r>
      </text>
    </comment>
    <comment ref="A847" authorId="1" shapeId="0" xr:uid="{B3AD8BAA-845D-4502-99CC-88DC62235594}">
      <text>
        <r>
          <rPr>
            <sz val="11"/>
            <color theme="1"/>
            <rFont val="Calibri"/>
            <family val="2"/>
            <scheme val="minor"/>
          </rPr>
          <t>Introducir un texto con el nombre o referencia de la contratación</t>
        </r>
      </text>
    </comment>
    <comment ref="B847" authorId="1" shapeId="0" xr:uid="{3C4E3AB4-1E8B-4024-83F2-DCDC41EE77F3}">
      <text>
        <r>
          <rPr>
            <sz val="11"/>
            <color theme="1"/>
            <rFont val="Calibri"/>
            <family val="2"/>
            <scheme val="minor"/>
          </rPr>
          <t>Introduzca un texto con la finalidad de la contratación</t>
        </r>
      </text>
    </comment>
    <comment ref="C847" authorId="1" shapeId="0" xr:uid="{A25EEDE5-C22C-445D-AFB6-8CE249EE5BDC}">
      <text>
        <r>
          <rPr>
            <sz val="11"/>
            <color theme="1"/>
            <rFont val="Calibri"/>
            <family val="2"/>
            <scheme val="minor"/>
          </rPr>
          <t>Seleccionar un valor del listado</t>
        </r>
      </text>
    </comment>
    <comment ref="D847" authorId="1" shapeId="0" xr:uid="{646242A6-552F-4F73-B1CC-29EEB5A8CA50}">
      <text>
        <r>
          <rPr>
            <sz val="11"/>
            <color theme="1"/>
            <rFont val="Calibri"/>
            <family val="2"/>
            <scheme val="minor"/>
          </rPr>
          <t>Seleccione el tipo de procedimiento</t>
        </r>
      </text>
    </comment>
    <comment ref="E847" authorId="1" shapeId="0" xr:uid="{AC60719A-6800-41F0-BF9B-78C2E463622B}">
      <text>
        <r>
          <rPr>
            <sz val="11"/>
            <color theme="1"/>
            <rFont val="Calibri"/>
            <family val="2"/>
            <scheme val="minor"/>
          </rPr>
          <t>Seleccione un valor de la lista</t>
        </r>
      </text>
    </comment>
    <comment ref="F847" authorId="1" shapeId="0" xr:uid="{B74302F3-A54C-4FE0-AC07-BE0B6CE7DC8C}">
      <text>
        <r>
          <rPr>
            <sz val="11"/>
            <color theme="1"/>
            <rFont val="Calibri"/>
            <family val="2"/>
            <scheme val="minor"/>
          </rPr>
          <t>Introduzca el código SNIP</t>
        </r>
      </text>
    </comment>
    <comment ref="C848" authorId="1" shapeId="0" xr:uid="{5B831308-15EC-48B2-A604-760DA838F4D0}">
      <text>
        <r>
          <rPr>
            <sz val="11"/>
            <color theme="1"/>
            <rFont val="Calibri"/>
            <family val="2"/>
            <scheme val="minor"/>
          </rPr>
          <t>Introduzca la fecha de inicio del proceso, en formato dd-mm-aaaa</t>
        </r>
      </text>
    </comment>
    <comment ref="F848" authorId="1" shapeId="0" xr:uid="{08606C11-D23F-4681-877F-E5DD4237F05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9" authorId="1" shapeId="0" xr:uid="{DBB3BE19-2ADA-4F37-BB55-9E49C547B417}">
      <text/>
    </comment>
    <comment ref="C850" authorId="1" shapeId="0" xr:uid="{8056E207-B877-4AF8-A849-DC8F394104AE}">
      <text>
        <r>
          <rPr>
            <sz val="11"/>
            <color theme="1"/>
            <rFont val="Calibri"/>
            <family val="2"/>
            <scheme val="minor"/>
          </rPr>
          <t>Introduzca la fecha prevista de adjudicación, en formato dd-mm-aaaa</t>
        </r>
      </text>
    </comment>
    <comment ref="F850" authorId="1" shapeId="0" xr:uid="{FF3B615C-0E55-4CA0-B34F-75834EDFB563}">
      <text/>
    </comment>
    <comment ref="F851" authorId="1" shapeId="0" xr:uid="{376FEDFA-609C-42B0-A2EC-7607889C3411}">
      <text/>
    </comment>
    <comment ref="A853" authorId="1" shapeId="0" xr:uid="{8025BE76-555A-4471-8491-8F8681AA7DEB}">
      <text>
        <r>
          <rPr>
            <sz val="11"/>
            <color theme="1"/>
            <rFont val="Calibri"/>
            <family val="2"/>
            <scheme val="minor"/>
          </rPr>
          <t>Introduzca un codigo UNSPSC</t>
        </r>
      </text>
    </comment>
    <comment ref="B853" authorId="1" shapeId="0" xr:uid="{DAE834D3-AE5B-4EDA-9AC3-55A78014960B}">
      <text>
        <r>
          <rPr>
            <sz val="11"/>
            <color theme="1"/>
            <rFont val="Calibri"/>
            <family val="2"/>
            <scheme val="minor"/>
          </rPr>
          <t>Descripción calculada automáticamente a partir de código del artículo</t>
        </r>
      </text>
    </comment>
    <comment ref="C853" authorId="1" shapeId="0" xr:uid="{8730AC7D-2789-4DC2-86E0-F3EC0BBC1902}">
      <text>
        <r>
          <rPr>
            <sz val="11"/>
            <color theme="1"/>
            <rFont val="Calibri"/>
            <family val="2"/>
            <scheme val="minor"/>
          </rPr>
          <t>Seleccione un valor de la lista</t>
        </r>
      </text>
    </comment>
    <comment ref="D853" authorId="1" shapeId="0" xr:uid="{DF06C9D6-EEF2-431C-9072-967B82AF971A}">
      <text>
        <r>
          <rPr>
            <sz val="11"/>
            <color theme="1"/>
            <rFont val="Calibri"/>
            <family val="2"/>
            <scheme val="minor"/>
          </rPr>
          <t>Introduzca un número con dos decimales como máximo. Debe ser igual o mayor a la "Cantidad Real Consumida"</t>
        </r>
      </text>
    </comment>
    <comment ref="E853" authorId="1" shapeId="0" xr:uid="{B7B7EE1F-F43C-43A5-A79F-B2A1CE22E1D9}">
      <text>
        <r>
          <rPr>
            <sz val="11"/>
            <color theme="1"/>
            <rFont val="Calibri"/>
            <family val="2"/>
            <scheme val="minor"/>
          </rPr>
          <t>Introduzca un número con dos decimales como máximo</t>
        </r>
      </text>
    </comment>
    <comment ref="F853" authorId="1" shapeId="0" xr:uid="{430AE210-AF23-44BA-BB54-84A011EFFA3B}">
      <text>
        <r>
          <rPr>
            <sz val="11"/>
            <color theme="1"/>
            <rFont val="Calibri"/>
            <family val="2"/>
            <scheme val="minor"/>
          </rPr>
          <t>Monto calculado automáticamente por el sistema</t>
        </r>
      </text>
    </comment>
    <comment ref="A858" authorId="1" shapeId="0" xr:uid="{0745BBA1-80DE-4480-8365-5BE38EC46F82}">
      <text>
        <r>
          <rPr>
            <sz val="11"/>
            <color theme="1"/>
            <rFont val="Calibri"/>
            <family val="2"/>
            <scheme val="minor"/>
          </rPr>
          <t>Introducir un texto con el nombre o referencia de la contratación</t>
        </r>
      </text>
    </comment>
    <comment ref="B858" authorId="1" shapeId="0" xr:uid="{76F6BE82-6256-463A-83E5-487806D6AA86}">
      <text>
        <r>
          <rPr>
            <sz val="11"/>
            <color theme="1"/>
            <rFont val="Calibri"/>
            <family val="2"/>
            <scheme val="minor"/>
          </rPr>
          <t>Introduzca un texto con la finalidad de la contratación</t>
        </r>
      </text>
    </comment>
    <comment ref="C858" authorId="1" shapeId="0" xr:uid="{8E070EAD-9329-4306-99F7-C92117AFF948}">
      <text>
        <r>
          <rPr>
            <sz val="11"/>
            <color theme="1"/>
            <rFont val="Calibri"/>
            <family val="2"/>
            <scheme val="minor"/>
          </rPr>
          <t>Seleccionar un valor del listado</t>
        </r>
      </text>
    </comment>
    <comment ref="D858" authorId="1" shapeId="0" xr:uid="{D7B72ED0-1631-4295-A92E-68A9E80949D2}">
      <text>
        <r>
          <rPr>
            <sz val="11"/>
            <color theme="1"/>
            <rFont val="Calibri"/>
            <family val="2"/>
            <scheme val="minor"/>
          </rPr>
          <t>Seleccione el tipo de procedimiento</t>
        </r>
      </text>
    </comment>
    <comment ref="E858" authorId="1" shapeId="0" xr:uid="{90ECFE8D-1D81-4D34-882C-CA9721D7CB12}">
      <text>
        <r>
          <rPr>
            <sz val="11"/>
            <color theme="1"/>
            <rFont val="Calibri"/>
            <family val="2"/>
            <scheme val="minor"/>
          </rPr>
          <t>Seleccione un valor de la lista</t>
        </r>
      </text>
    </comment>
    <comment ref="F858" authorId="1" shapeId="0" xr:uid="{45AC09A1-48C2-4561-9DC3-F981BCC5C7A8}">
      <text>
        <r>
          <rPr>
            <sz val="11"/>
            <color theme="1"/>
            <rFont val="Calibri"/>
            <family val="2"/>
            <scheme val="minor"/>
          </rPr>
          <t>Introduzca el código SNIP</t>
        </r>
      </text>
    </comment>
    <comment ref="C859" authorId="1" shapeId="0" xr:uid="{702F638D-3337-473F-800E-0F8CD367672F}">
      <text>
        <r>
          <rPr>
            <sz val="11"/>
            <color theme="1"/>
            <rFont val="Calibri"/>
            <family val="2"/>
            <scheme val="minor"/>
          </rPr>
          <t>Introduzca la fecha de inicio del proceso, en formato dd-mm-aaaa</t>
        </r>
      </text>
    </comment>
    <comment ref="F859" authorId="1" shapeId="0" xr:uid="{E0CFA5B7-2257-465C-A46D-738CF2F2B95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0" authorId="1" shapeId="0" xr:uid="{E2EF9299-3143-478F-83F1-A686A02F68CA}">
      <text/>
    </comment>
    <comment ref="C861" authorId="1" shapeId="0" xr:uid="{32746ED9-1FEE-48A1-A557-F08882CE7DEA}">
      <text>
        <r>
          <rPr>
            <sz val="11"/>
            <color theme="1"/>
            <rFont val="Calibri"/>
            <family val="2"/>
            <scheme val="minor"/>
          </rPr>
          <t>Introduzca la fecha prevista de adjudicación, en formato dd-mm-aaaa</t>
        </r>
      </text>
    </comment>
    <comment ref="F861" authorId="1" shapeId="0" xr:uid="{2FF9633C-7679-45B1-8A3E-6D65C10C705A}">
      <text/>
    </comment>
    <comment ref="F862" authorId="1" shapeId="0" xr:uid="{E77FBCBC-8FE1-45A3-8003-EA31275FAD8C}">
      <text/>
    </comment>
    <comment ref="A864" authorId="1" shapeId="0" xr:uid="{31F7985B-C0A3-453F-A5A8-9DFC2C159D89}">
      <text>
        <r>
          <rPr>
            <sz val="11"/>
            <color theme="1"/>
            <rFont val="Calibri"/>
            <family val="2"/>
            <scheme val="minor"/>
          </rPr>
          <t>Introduzca un codigo UNSPSC</t>
        </r>
      </text>
    </comment>
    <comment ref="B864" authorId="1" shapeId="0" xr:uid="{D7E4F229-03D8-41F7-98C8-B1D65C9C69C7}">
      <text>
        <r>
          <rPr>
            <sz val="11"/>
            <color theme="1"/>
            <rFont val="Calibri"/>
            <family val="2"/>
            <scheme val="minor"/>
          </rPr>
          <t>Descripción calculada automáticamente a partir de código del artículo</t>
        </r>
      </text>
    </comment>
    <comment ref="C864" authorId="1" shapeId="0" xr:uid="{9C2845E2-DB7F-4C83-BD75-1FD98ABCA653}">
      <text>
        <r>
          <rPr>
            <sz val="11"/>
            <color theme="1"/>
            <rFont val="Calibri"/>
            <family val="2"/>
            <scheme val="minor"/>
          </rPr>
          <t>Seleccione un valor de la lista</t>
        </r>
      </text>
    </comment>
    <comment ref="D864" authorId="1" shapeId="0" xr:uid="{AFF2AABC-D0C9-4FCA-85F8-C4B5E68DA427}">
      <text>
        <r>
          <rPr>
            <sz val="11"/>
            <color theme="1"/>
            <rFont val="Calibri"/>
            <family val="2"/>
            <scheme val="minor"/>
          </rPr>
          <t>Introduzca un número con dos decimales como máximo. Debe ser igual o mayor a la "Cantidad Real Consumida"</t>
        </r>
      </text>
    </comment>
    <comment ref="E864" authorId="1" shapeId="0" xr:uid="{7D57F27C-E570-4E99-A90A-C9FDE33C6FD7}">
      <text>
        <r>
          <rPr>
            <sz val="11"/>
            <color theme="1"/>
            <rFont val="Calibri"/>
            <family val="2"/>
            <scheme val="minor"/>
          </rPr>
          <t>Introduzca un número con dos decimales como máximo</t>
        </r>
      </text>
    </comment>
    <comment ref="F864" authorId="1" shapeId="0" xr:uid="{D7006E0A-839E-4B59-8365-8FC182EE69C2}">
      <text>
        <r>
          <rPr>
            <sz val="11"/>
            <color theme="1"/>
            <rFont val="Calibri"/>
            <family val="2"/>
            <scheme val="minor"/>
          </rPr>
          <t>Monto calculado automáticamente por el sistema</t>
        </r>
      </text>
    </comment>
    <comment ref="A882" authorId="1" shapeId="0" xr:uid="{94968E55-D3C3-4EFA-8979-C991E1265CAA}">
      <text>
        <r>
          <rPr>
            <sz val="11"/>
            <color theme="1"/>
            <rFont val="Calibri"/>
            <family val="2"/>
            <scheme val="minor"/>
          </rPr>
          <t>Introducir un texto con el nombre o referencia de la contratación</t>
        </r>
      </text>
    </comment>
    <comment ref="B882" authorId="1" shapeId="0" xr:uid="{6D874D42-E500-4A14-B25E-BC4117BA5E32}">
      <text>
        <r>
          <rPr>
            <sz val="11"/>
            <color theme="1"/>
            <rFont val="Calibri"/>
            <family val="2"/>
            <scheme val="minor"/>
          </rPr>
          <t>Introduzca un texto con la finalidad de la contratación</t>
        </r>
      </text>
    </comment>
    <comment ref="C882" authorId="1" shapeId="0" xr:uid="{C54FCF9D-5BEC-41CE-824C-2A45EAC37F2E}">
      <text>
        <r>
          <rPr>
            <sz val="11"/>
            <color theme="1"/>
            <rFont val="Calibri"/>
            <family val="2"/>
            <scheme val="minor"/>
          </rPr>
          <t>Seleccionar un valor del listado</t>
        </r>
      </text>
    </comment>
    <comment ref="D882" authorId="1" shapeId="0" xr:uid="{85A1AEEC-0572-4613-99BA-3AAB32D31076}">
      <text>
        <r>
          <rPr>
            <sz val="11"/>
            <color theme="1"/>
            <rFont val="Calibri"/>
            <family val="2"/>
            <scheme val="minor"/>
          </rPr>
          <t>Seleccione el tipo de procedimiento</t>
        </r>
      </text>
    </comment>
    <comment ref="E882" authorId="1" shapeId="0" xr:uid="{F7696633-BC2D-498B-BCE9-40B4116EE322}">
      <text>
        <r>
          <rPr>
            <sz val="11"/>
            <color theme="1"/>
            <rFont val="Calibri"/>
            <family val="2"/>
            <scheme val="minor"/>
          </rPr>
          <t>Seleccione un valor de la lista</t>
        </r>
      </text>
    </comment>
    <comment ref="F882" authorId="1" shapeId="0" xr:uid="{59533925-49F0-44A5-B64A-1FA9681FC129}">
      <text>
        <r>
          <rPr>
            <sz val="11"/>
            <color theme="1"/>
            <rFont val="Calibri"/>
            <family val="2"/>
            <scheme val="minor"/>
          </rPr>
          <t>Introduzca el código SNIP</t>
        </r>
      </text>
    </comment>
    <comment ref="C883" authorId="1" shapeId="0" xr:uid="{B6FB6356-4206-4921-AE85-BF221F0EDDC6}">
      <text>
        <r>
          <rPr>
            <sz val="11"/>
            <color theme="1"/>
            <rFont val="Calibri"/>
            <family val="2"/>
            <scheme val="minor"/>
          </rPr>
          <t>Introduzca la fecha de inicio del proceso, en formato dd-mm-aaaa</t>
        </r>
      </text>
    </comment>
    <comment ref="F883" authorId="1" shapeId="0" xr:uid="{C5AECBD8-9D45-420A-8FD1-C2B363AA4DF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4" authorId="1" shapeId="0" xr:uid="{C39E1B6B-9ED8-416E-B616-332B89CCD039}">
      <text/>
    </comment>
    <comment ref="C885" authorId="1" shapeId="0" xr:uid="{832E7A64-DE22-400F-9062-E79081A92C17}">
      <text>
        <r>
          <rPr>
            <sz val="11"/>
            <color theme="1"/>
            <rFont val="Calibri"/>
            <family val="2"/>
            <scheme val="minor"/>
          </rPr>
          <t>Introduzca la fecha prevista de adjudicación, en formato dd-mm-aaaa</t>
        </r>
      </text>
    </comment>
    <comment ref="F885" authorId="1" shapeId="0" xr:uid="{A94F87A6-A04B-442E-899E-2CF5ABC0014A}">
      <text/>
    </comment>
    <comment ref="F886" authorId="1" shapeId="0" xr:uid="{4E1A3714-58C4-418D-BDEF-D70361E3FFE6}">
      <text/>
    </comment>
    <comment ref="A888" authorId="1" shapeId="0" xr:uid="{5D826758-8ACE-4D2D-A8E2-2DC817F0497F}">
      <text>
        <r>
          <rPr>
            <sz val="11"/>
            <color theme="1"/>
            <rFont val="Calibri"/>
            <family val="2"/>
            <scheme val="minor"/>
          </rPr>
          <t>Introduzca un codigo UNSPSC</t>
        </r>
      </text>
    </comment>
    <comment ref="B888" authorId="1" shapeId="0" xr:uid="{BBBE2861-B603-42B9-A8DE-16FFA446A225}">
      <text>
        <r>
          <rPr>
            <sz val="11"/>
            <color theme="1"/>
            <rFont val="Calibri"/>
            <family val="2"/>
            <scheme val="minor"/>
          </rPr>
          <t>Descripción calculada automáticamente a partir de código del artículo</t>
        </r>
      </text>
    </comment>
    <comment ref="C888" authorId="1" shapeId="0" xr:uid="{CC5ECE7F-ED7F-45EF-BD94-89574D1F40E3}">
      <text>
        <r>
          <rPr>
            <sz val="11"/>
            <color theme="1"/>
            <rFont val="Calibri"/>
            <family val="2"/>
            <scheme val="minor"/>
          </rPr>
          <t>Seleccione un valor de la lista</t>
        </r>
      </text>
    </comment>
    <comment ref="D888" authorId="1" shapeId="0" xr:uid="{4BBB80B3-3165-4F5D-838D-13658921880D}">
      <text>
        <r>
          <rPr>
            <sz val="11"/>
            <color theme="1"/>
            <rFont val="Calibri"/>
            <family val="2"/>
            <scheme val="minor"/>
          </rPr>
          <t>Introduzca un número con dos decimales como máximo. Debe ser igual o mayor a la "Cantidad Real Consumida"</t>
        </r>
      </text>
    </comment>
    <comment ref="E888" authorId="1" shapeId="0" xr:uid="{31FAA45C-1BC0-4DD8-9A18-1C997461EC57}">
      <text>
        <r>
          <rPr>
            <sz val="11"/>
            <color theme="1"/>
            <rFont val="Calibri"/>
            <family val="2"/>
            <scheme val="minor"/>
          </rPr>
          <t>Introduzca un número con dos decimales como máximo</t>
        </r>
      </text>
    </comment>
    <comment ref="F888" authorId="1" shapeId="0" xr:uid="{EC2D9CE9-9C51-4B43-BCA0-242F560B444C}">
      <text>
        <r>
          <rPr>
            <sz val="11"/>
            <color theme="1"/>
            <rFont val="Calibri"/>
            <family val="2"/>
            <scheme val="minor"/>
          </rPr>
          <t>Monto calculado automáticamente por el sistema</t>
        </r>
      </text>
    </comment>
    <comment ref="A901" authorId="1" shapeId="0" xr:uid="{96B6CE52-F7B4-43BD-A962-243CE46C60BF}">
      <text>
        <r>
          <rPr>
            <sz val="11"/>
            <color theme="1"/>
            <rFont val="Calibri"/>
            <family val="2"/>
            <scheme val="minor"/>
          </rPr>
          <t>Introducir un texto con el nombre o referencia de la contratación</t>
        </r>
      </text>
    </comment>
    <comment ref="B901" authorId="1" shapeId="0" xr:uid="{9166F4FC-37E8-4247-811D-5EB3760EB425}">
      <text>
        <r>
          <rPr>
            <sz val="11"/>
            <color theme="1"/>
            <rFont val="Calibri"/>
            <family val="2"/>
            <scheme val="minor"/>
          </rPr>
          <t>Introduzca un texto con la finalidad de la contratación</t>
        </r>
      </text>
    </comment>
    <comment ref="C901" authorId="1" shapeId="0" xr:uid="{A618AC40-C153-410D-9D43-A5A59F66FE89}">
      <text>
        <r>
          <rPr>
            <sz val="11"/>
            <color theme="1"/>
            <rFont val="Calibri"/>
            <family val="2"/>
            <scheme val="minor"/>
          </rPr>
          <t>Seleccionar un valor del listado</t>
        </r>
      </text>
    </comment>
    <comment ref="D901" authorId="1" shapeId="0" xr:uid="{5E3C2D19-BAC4-425F-A874-4172519A06FE}">
      <text>
        <r>
          <rPr>
            <sz val="11"/>
            <color theme="1"/>
            <rFont val="Calibri"/>
            <family val="2"/>
            <scheme val="minor"/>
          </rPr>
          <t>Seleccione el tipo de procedimiento</t>
        </r>
      </text>
    </comment>
    <comment ref="E901" authorId="1" shapeId="0" xr:uid="{E761A1EE-338D-4C14-96E5-17F1753B5F3A}">
      <text>
        <r>
          <rPr>
            <sz val="11"/>
            <color theme="1"/>
            <rFont val="Calibri"/>
            <family val="2"/>
            <scheme val="minor"/>
          </rPr>
          <t>Seleccione un valor de la lista</t>
        </r>
      </text>
    </comment>
    <comment ref="F901" authorId="1" shapeId="0" xr:uid="{3393338D-5150-4111-9CE9-AA12299CFD7F}">
      <text>
        <r>
          <rPr>
            <sz val="11"/>
            <color theme="1"/>
            <rFont val="Calibri"/>
            <family val="2"/>
            <scheme val="minor"/>
          </rPr>
          <t>Introduzca el código SNIP</t>
        </r>
      </text>
    </comment>
    <comment ref="C902" authorId="1" shapeId="0" xr:uid="{52DAB3B6-25EC-4FC6-9AE5-25E1C1BE47C7}">
      <text>
        <r>
          <rPr>
            <sz val="11"/>
            <color theme="1"/>
            <rFont val="Calibri"/>
            <family val="2"/>
            <scheme val="minor"/>
          </rPr>
          <t>Introduzca la fecha de inicio del proceso, en formato dd-mm-aaaa</t>
        </r>
      </text>
    </comment>
    <comment ref="F902" authorId="1" shapeId="0" xr:uid="{9A88F95E-4AB3-4522-9BC1-DACE2E75A39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3" authorId="1" shapeId="0" xr:uid="{ABF525B4-8C54-4DAC-853D-0A1944FC58F8}">
      <text/>
    </comment>
    <comment ref="C904" authorId="1" shapeId="0" xr:uid="{9B966972-CF32-459E-B207-7B23D19885F6}">
      <text>
        <r>
          <rPr>
            <sz val="11"/>
            <color theme="1"/>
            <rFont val="Calibri"/>
            <family val="2"/>
            <scheme val="minor"/>
          </rPr>
          <t>Introduzca la fecha prevista de adjudicación, en formato dd-mm-aaaa</t>
        </r>
      </text>
    </comment>
    <comment ref="F904" authorId="1" shapeId="0" xr:uid="{C9DEC26A-8866-4ADE-8C13-E51A2177768B}">
      <text/>
    </comment>
    <comment ref="F905" authorId="1" shapeId="0" xr:uid="{05CB6999-4369-40A8-B155-50365C3E07E5}">
      <text/>
    </comment>
    <comment ref="A907" authorId="1" shapeId="0" xr:uid="{6851A136-028A-4D7F-A77A-6EE1A440CF75}">
      <text>
        <r>
          <rPr>
            <sz val="11"/>
            <color theme="1"/>
            <rFont val="Calibri"/>
            <family val="2"/>
            <scheme val="minor"/>
          </rPr>
          <t>Introduzca un codigo UNSPSC</t>
        </r>
      </text>
    </comment>
    <comment ref="B907" authorId="1" shapeId="0" xr:uid="{50ED2095-DADE-4210-BBE9-4544CD010B46}">
      <text>
        <r>
          <rPr>
            <sz val="11"/>
            <color theme="1"/>
            <rFont val="Calibri"/>
            <family val="2"/>
            <scheme val="minor"/>
          </rPr>
          <t>Descripción calculada automáticamente a partir de código del artículo</t>
        </r>
      </text>
    </comment>
    <comment ref="C907" authorId="1" shapeId="0" xr:uid="{849E2990-B964-44CD-B5FF-48BFE8A41007}">
      <text>
        <r>
          <rPr>
            <sz val="11"/>
            <color theme="1"/>
            <rFont val="Calibri"/>
            <family val="2"/>
            <scheme val="minor"/>
          </rPr>
          <t>Seleccione un valor de la lista</t>
        </r>
      </text>
    </comment>
    <comment ref="D907" authorId="1" shapeId="0" xr:uid="{865ED5F5-A1C5-46F3-9AA0-D478661C7DAA}">
      <text>
        <r>
          <rPr>
            <sz val="11"/>
            <color theme="1"/>
            <rFont val="Calibri"/>
            <family val="2"/>
            <scheme val="minor"/>
          </rPr>
          <t>Introduzca un número con dos decimales como máximo. Debe ser igual o mayor a la "Cantidad Real Consumida"</t>
        </r>
      </text>
    </comment>
    <comment ref="E907" authorId="1" shapeId="0" xr:uid="{3D6B58D5-925D-4823-8CF8-698AC2E6F35F}">
      <text>
        <r>
          <rPr>
            <sz val="11"/>
            <color theme="1"/>
            <rFont val="Calibri"/>
            <family val="2"/>
            <scheme val="minor"/>
          </rPr>
          <t>Introduzca un número con dos decimales como máximo</t>
        </r>
      </text>
    </comment>
    <comment ref="F907" authorId="1" shapeId="0" xr:uid="{840ADF96-7A5E-43F8-B0CC-08A1B76C8C3D}">
      <text>
        <r>
          <rPr>
            <sz val="11"/>
            <color theme="1"/>
            <rFont val="Calibri"/>
            <family val="2"/>
            <scheme val="minor"/>
          </rPr>
          <t>Monto calculado automáticamente por el sistema</t>
        </r>
      </text>
    </comment>
    <comment ref="A938" authorId="1" shapeId="0" xr:uid="{A53974F5-60EA-4C0F-9EB8-93B3302E8E93}">
      <text>
        <r>
          <rPr>
            <sz val="11"/>
            <color theme="1"/>
            <rFont val="Calibri"/>
            <family val="2"/>
            <scheme val="minor"/>
          </rPr>
          <t>Introducir un texto con el nombre o referencia de la contratación</t>
        </r>
      </text>
    </comment>
    <comment ref="B938" authorId="1" shapeId="0" xr:uid="{3CC6EEFF-06E1-4706-AA60-49FF274422EE}">
      <text>
        <r>
          <rPr>
            <sz val="11"/>
            <color theme="1"/>
            <rFont val="Calibri"/>
            <family val="2"/>
            <scheme val="minor"/>
          </rPr>
          <t>Introduzca un texto con la finalidad de la contratación</t>
        </r>
      </text>
    </comment>
    <comment ref="C938" authorId="1" shapeId="0" xr:uid="{DB6B6A68-CBA0-4513-800E-3CC8C5C1085B}">
      <text>
        <r>
          <rPr>
            <sz val="11"/>
            <color theme="1"/>
            <rFont val="Calibri"/>
            <family val="2"/>
            <scheme val="minor"/>
          </rPr>
          <t>Seleccionar un valor del listado</t>
        </r>
      </text>
    </comment>
    <comment ref="D938" authorId="1" shapeId="0" xr:uid="{933BC4CF-573E-402C-A29D-51100A1F0191}">
      <text>
        <r>
          <rPr>
            <sz val="11"/>
            <color theme="1"/>
            <rFont val="Calibri"/>
            <family val="2"/>
            <scheme val="minor"/>
          </rPr>
          <t>Seleccione el tipo de procedimiento</t>
        </r>
      </text>
    </comment>
    <comment ref="E938" authorId="1" shapeId="0" xr:uid="{6B37A80A-D82D-4C8E-BF24-C519000DA024}">
      <text>
        <r>
          <rPr>
            <sz val="11"/>
            <color theme="1"/>
            <rFont val="Calibri"/>
            <family val="2"/>
            <scheme val="minor"/>
          </rPr>
          <t>Seleccione un valor de la lista</t>
        </r>
      </text>
    </comment>
    <comment ref="F938" authorId="1" shapeId="0" xr:uid="{48397CAF-11B4-4B95-A38F-29427A08F20F}">
      <text>
        <r>
          <rPr>
            <sz val="11"/>
            <color theme="1"/>
            <rFont val="Calibri"/>
            <family val="2"/>
            <scheme val="minor"/>
          </rPr>
          <t>Introduzca el código SNIP</t>
        </r>
      </text>
    </comment>
    <comment ref="C939" authorId="1" shapeId="0" xr:uid="{D5155452-56CB-4B01-89B9-20D86ABD0C0C}">
      <text>
        <r>
          <rPr>
            <sz val="11"/>
            <color theme="1"/>
            <rFont val="Calibri"/>
            <family val="2"/>
            <scheme val="minor"/>
          </rPr>
          <t>Introduzca la fecha de inicio del proceso, en formato dd-mm-aaaa</t>
        </r>
      </text>
    </comment>
    <comment ref="F939" authorId="1" shapeId="0" xr:uid="{E626C5B9-019C-4B69-8E56-2F941700986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0" authorId="1" shapeId="0" xr:uid="{7F484BEB-198D-45C9-96E0-0107E2C2D2FA}">
      <text/>
    </comment>
    <comment ref="C941" authorId="1" shapeId="0" xr:uid="{33FA90A5-749D-4738-AA33-5BEA55AF901F}">
      <text>
        <r>
          <rPr>
            <sz val="11"/>
            <color theme="1"/>
            <rFont val="Calibri"/>
            <family val="2"/>
            <scheme val="minor"/>
          </rPr>
          <t>Introduzca la fecha prevista de adjudicación, en formato dd-mm-aaaa</t>
        </r>
      </text>
    </comment>
    <comment ref="F941" authorId="1" shapeId="0" xr:uid="{46B1E0C0-2905-4C13-894F-B12C631D46E4}">
      <text/>
    </comment>
    <comment ref="F942" authorId="1" shapeId="0" xr:uid="{BC087CA3-DD9A-46D9-99EF-2011C44FC133}">
      <text/>
    </comment>
    <comment ref="A944" authorId="1" shapeId="0" xr:uid="{06FEEB67-BF95-4424-9572-09E78A54DEF2}">
      <text>
        <r>
          <rPr>
            <sz val="11"/>
            <color theme="1"/>
            <rFont val="Calibri"/>
            <family val="2"/>
            <scheme val="minor"/>
          </rPr>
          <t>Introduzca un codigo UNSPSC</t>
        </r>
      </text>
    </comment>
    <comment ref="B944" authorId="1" shapeId="0" xr:uid="{A000CF00-ADDB-4D88-97D3-EF0D316F2719}">
      <text>
        <r>
          <rPr>
            <sz val="11"/>
            <color theme="1"/>
            <rFont val="Calibri"/>
            <family val="2"/>
            <scheme val="minor"/>
          </rPr>
          <t>Descripción calculada automáticamente a partir de código del artículo</t>
        </r>
      </text>
    </comment>
    <comment ref="C944" authorId="1" shapeId="0" xr:uid="{DC0F7C6F-805C-4EFE-8E77-96B6CD3CFE16}">
      <text>
        <r>
          <rPr>
            <sz val="11"/>
            <color theme="1"/>
            <rFont val="Calibri"/>
            <family val="2"/>
            <scheme val="minor"/>
          </rPr>
          <t>Seleccione un valor de la lista</t>
        </r>
      </text>
    </comment>
    <comment ref="D944" authorId="1" shapeId="0" xr:uid="{67FE3927-A1EC-4558-A9EF-96F4F717473E}">
      <text>
        <r>
          <rPr>
            <sz val="11"/>
            <color theme="1"/>
            <rFont val="Calibri"/>
            <family val="2"/>
            <scheme val="minor"/>
          </rPr>
          <t>Introduzca un número con dos decimales como máximo. Debe ser igual o mayor a la "Cantidad Real Consumida"</t>
        </r>
      </text>
    </comment>
    <comment ref="E944" authorId="1" shapeId="0" xr:uid="{8944BA6A-B279-412D-B77A-D970BB9D7AD0}">
      <text>
        <r>
          <rPr>
            <sz val="11"/>
            <color theme="1"/>
            <rFont val="Calibri"/>
            <family val="2"/>
            <scheme val="minor"/>
          </rPr>
          <t>Introduzca un número con dos decimales como máximo</t>
        </r>
      </text>
    </comment>
    <comment ref="F944" authorId="1" shapeId="0" xr:uid="{D4921B7F-89C5-413E-AAAA-63370851A003}">
      <text>
        <r>
          <rPr>
            <sz val="11"/>
            <color theme="1"/>
            <rFont val="Calibri"/>
            <family val="2"/>
            <scheme val="minor"/>
          </rPr>
          <t>Monto calculado automáticamente por el sistema</t>
        </r>
      </text>
    </comment>
    <comment ref="A958" authorId="1" shapeId="0" xr:uid="{62BD48DB-DDC1-411A-B123-3434498F1A3A}">
      <text>
        <r>
          <rPr>
            <sz val="11"/>
            <color theme="1"/>
            <rFont val="Calibri"/>
            <family val="2"/>
            <scheme val="minor"/>
          </rPr>
          <t>Introducir un texto con el nombre o referencia de la contratación</t>
        </r>
      </text>
    </comment>
    <comment ref="B958" authorId="1" shapeId="0" xr:uid="{6278B9C4-B9AE-4C72-810A-463886B64B62}">
      <text>
        <r>
          <rPr>
            <sz val="11"/>
            <color theme="1"/>
            <rFont val="Calibri"/>
            <family val="2"/>
            <scheme val="minor"/>
          </rPr>
          <t>Introduzca un texto con la finalidad de la contratación</t>
        </r>
      </text>
    </comment>
    <comment ref="C958" authorId="1" shapeId="0" xr:uid="{1B770573-5922-414A-B2F1-9D49B11AEA6F}">
      <text>
        <r>
          <rPr>
            <sz val="11"/>
            <color theme="1"/>
            <rFont val="Calibri"/>
            <family val="2"/>
            <scheme val="minor"/>
          </rPr>
          <t>Seleccionar un valor del listado</t>
        </r>
      </text>
    </comment>
    <comment ref="D958" authorId="1" shapeId="0" xr:uid="{C2A6F64D-B94C-4529-959A-253960D546B1}">
      <text>
        <r>
          <rPr>
            <sz val="11"/>
            <color theme="1"/>
            <rFont val="Calibri"/>
            <family val="2"/>
            <scheme val="minor"/>
          </rPr>
          <t>Seleccione el tipo de procedimiento</t>
        </r>
      </text>
    </comment>
    <comment ref="E958" authorId="1" shapeId="0" xr:uid="{4C18E27C-DEF5-4228-94CF-07E2B993FADB}">
      <text>
        <r>
          <rPr>
            <sz val="11"/>
            <color theme="1"/>
            <rFont val="Calibri"/>
            <family val="2"/>
            <scheme val="minor"/>
          </rPr>
          <t>Seleccione un valor de la lista</t>
        </r>
      </text>
    </comment>
    <comment ref="F958" authorId="1" shapeId="0" xr:uid="{F85C838F-363C-45C3-8021-DA7EFE356559}">
      <text>
        <r>
          <rPr>
            <sz val="11"/>
            <color theme="1"/>
            <rFont val="Calibri"/>
            <family val="2"/>
            <scheme val="minor"/>
          </rPr>
          <t>Introduzca el código SNIP</t>
        </r>
      </text>
    </comment>
    <comment ref="C959" authorId="1" shapeId="0" xr:uid="{22167F68-5ACC-4FDF-A440-BB8975898B2C}">
      <text>
        <r>
          <rPr>
            <sz val="11"/>
            <color theme="1"/>
            <rFont val="Calibri"/>
            <family val="2"/>
            <scheme val="minor"/>
          </rPr>
          <t>Introduzca la fecha de inicio del proceso, en formato dd-mm-aaaa</t>
        </r>
      </text>
    </comment>
    <comment ref="F959" authorId="1" shapeId="0" xr:uid="{E123FFC9-5ACB-427C-8D93-C3C58AE1D9A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0" authorId="1" shapeId="0" xr:uid="{C34FAE77-6CE7-43BA-995E-6C7A7847F7A1}">
      <text/>
    </comment>
    <comment ref="C961" authorId="1" shapeId="0" xr:uid="{4D2A2F5A-E9DA-4EBA-B57E-6E9F5E2D3BC5}">
      <text>
        <r>
          <rPr>
            <sz val="11"/>
            <color theme="1"/>
            <rFont val="Calibri"/>
            <family val="2"/>
            <scheme val="minor"/>
          </rPr>
          <t>Introduzca la fecha prevista de adjudicación, en formato dd-mm-aaaa</t>
        </r>
      </text>
    </comment>
    <comment ref="F961" authorId="1" shapeId="0" xr:uid="{46ADA46E-6230-4B01-87E7-6A5572FECD63}">
      <text/>
    </comment>
    <comment ref="F962" authorId="1" shapeId="0" xr:uid="{53D435F9-6691-42CA-9226-017F791DB0D0}">
      <text/>
    </comment>
    <comment ref="A964" authorId="1" shapeId="0" xr:uid="{3D7033B9-817E-43A1-8CC3-53F8B4692AB6}">
      <text>
        <r>
          <rPr>
            <sz val="11"/>
            <color theme="1"/>
            <rFont val="Calibri"/>
            <family val="2"/>
            <scheme val="minor"/>
          </rPr>
          <t>Introduzca un codigo UNSPSC</t>
        </r>
      </text>
    </comment>
    <comment ref="B964" authorId="1" shapeId="0" xr:uid="{5928FD8E-AFC8-46D1-B1EF-468EB89E45B3}">
      <text>
        <r>
          <rPr>
            <sz val="11"/>
            <color theme="1"/>
            <rFont val="Calibri"/>
            <family val="2"/>
            <scheme val="minor"/>
          </rPr>
          <t>Descripción calculada automáticamente a partir de código del artículo</t>
        </r>
      </text>
    </comment>
    <comment ref="C964" authorId="1" shapeId="0" xr:uid="{BA488543-0B31-4CC9-891C-98E45FB70EA4}">
      <text>
        <r>
          <rPr>
            <sz val="11"/>
            <color theme="1"/>
            <rFont val="Calibri"/>
            <family val="2"/>
            <scheme val="minor"/>
          </rPr>
          <t>Seleccione un valor de la lista</t>
        </r>
      </text>
    </comment>
    <comment ref="D964" authorId="1" shapeId="0" xr:uid="{C1ABCB7E-D6B7-44D7-A911-0F9968522D12}">
      <text>
        <r>
          <rPr>
            <sz val="11"/>
            <color theme="1"/>
            <rFont val="Calibri"/>
            <family val="2"/>
            <scheme val="minor"/>
          </rPr>
          <t>Introduzca un número con dos decimales como máximo. Debe ser igual o mayor a la "Cantidad Real Consumida"</t>
        </r>
      </text>
    </comment>
    <comment ref="E964" authorId="1" shapeId="0" xr:uid="{366B7ECE-94BC-49A0-AC00-B4A4F21F426B}">
      <text>
        <r>
          <rPr>
            <sz val="11"/>
            <color theme="1"/>
            <rFont val="Calibri"/>
            <family val="2"/>
            <scheme val="minor"/>
          </rPr>
          <t>Introduzca un número con dos decimales como máximo</t>
        </r>
      </text>
    </comment>
    <comment ref="F964" authorId="1" shapeId="0" xr:uid="{56E13A77-1103-4AB9-8D6D-779797AB66CC}">
      <text>
        <r>
          <rPr>
            <sz val="11"/>
            <color theme="1"/>
            <rFont val="Calibri"/>
            <family val="2"/>
            <scheme val="minor"/>
          </rPr>
          <t>Monto calculado automáticamente por el sistema</t>
        </r>
      </text>
    </comment>
    <comment ref="A982" authorId="1" shapeId="0" xr:uid="{020EF983-6FEF-4EE3-B999-197662D6D5B3}">
      <text>
        <r>
          <rPr>
            <sz val="11"/>
            <color theme="1"/>
            <rFont val="Calibri"/>
            <family val="2"/>
            <scheme val="minor"/>
          </rPr>
          <t>Introducir un texto con el nombre o referencia de la contratación</t>
        </r>
      </text>
    </comment>
    <comment ref="B982" authorId="1" shapeId="0" xr:uid="{25B0882E-CD84-4465-9944-D076B5D430A1}">
      <text>
        <r>
          <rPr>
            <sz val="11"/>
            <color theme="1"/>
            <rFont val="Calibri"/>
            <family val="2"/>
            <scheme val="minor"/>
          </rPr>
          <t>Introduzca un texto con la finalidad de la contratación</t>
        </r>
      </text>
    </comment>
    <comment ref="C982" authorId="1" shapeId="0" xr:uid="{BE3AC007-64B0-4E44-8096-483E8129AB5F}">
      <text>
        <r>
          <rPr>
            <sz val="11"/>
            <color theme="1"/>
            <rFont val="Calibri"/>
            <family val="2"/>
            <scheme val="minor"/>
          </rPr>
          <t>Seleccionar un valor del listado</t>
        </r>
      </text>
    </comment>
    <comment ref="D982" authorId="1" shapeId="0" xr:uid="{4BB53667-966F-4C15-B823-EF011A23F694}">
      <text>
        <r>
          <rPr>
            <sz val="11"/>
            <color theme="1"/>
            <rFont val="Calibri"/>
            <family val="2"/>
            <scheme val="minor"/>
          </rPr>
          <t>Seleccione el tipo de procedimiento</t>
        </r>
      </text>
    </comment>
    <comment ref="E982" authorId="1" shapeId="0" xr:uid="{BA71EF69-C8A3-4450-AA13-EDE8D748EC06}">
      <text>
        <r>
          <rPr>
            <sz val="11"/>
            <color theme="1"/>
            <rFont val="Calibri"/>
            <family val="2"/>
            <scheme val="minor"/>
          </rPr>
          <t>Seleccione un valor de la lista</t>
        </r>
      </text>
    </comment>
    <comment ref="F982" authorId="1" shapeId="0" xr:uid="{B8F354BE-11A0-4742-9223-DE43C4E11174}">
      <text>
        <r>
          <rPr>
            <sz val="11"/>
            <color theme="1"/>
            <rFont val="Calibri"/>
            <family val="2"/>
            <scheme val="minor"/>
          </rPr>
          <t>Introduzca el código SNIP</t>
        </r>
      </text>
    </comment>
    <comment ref="C983" authorId="1" shapeId="0" xr:uid="{2050BA85-5851-4195-955D-FABFBF09081E}">
      <text>
        <r>
          <rPr>
            <sz val="11"/>
            <color theme="1"/>
            <rFont val="Calibri"/>
            <family val="2"/>
            <scheme val="minor"/>
          </rPr>
          <t>Introduzca la fecha de inicio del proceso, en formato dd-mm-aaaa</t>
        </r>
      </text>
    </comment>
    <comment ref="F983" authorId="1" shapeId="0" xr:uid="{499FCC15-5428-46AC-86A9-0A72586F46F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4" authorId="1" shapeId="0" xr:uid="{AF6F4D3A-E818-4CDF-9357-B2616608FD70}">
      <text/>
    </comment>
    <comment ref="C985" authorId="1" shapeId="0" xr:uid="{D7B74840-DBF1-4B0F-95C4-8E1175ED7388}">
      <text>
        <r>
          <rPr>
            <sz val="11"/>
            <color theme="1"/>
            <rFont val="Calibri"/>
            <family val="2"/>
            <scheme val="minor"/>
          </rPr>
          <t>Introduzca la fecha prevista de adjudicación, en formato dd-mm-aaaa</t>
        </r>
      </text>
    </comment>
    <comment ref="F985" authorId="1" shapeId="0" xr:uid="{75513F03-8A3D-4A03-8DF3-946E1BEAEC2F}">
      <text/>
    </comment>
    <comment ref="F986" authorId="1" shapeId="0" xr:uid="{EF38630E-61CB-4ADC-A5F4-B7C51D5CBF12}">
      <text/>
    </comment>
    <comment ref="A988" authorId="1" shapeId="0" xr:uid="{21023DE9-AF63-46F5-894B-97501E11E8BC}">
      <text>
        <r>
          <rPr>
            <sz val="11"/>
            <color theme="1"/>
            <rFont val="Calibri"/>
            <family val="2"/>
            <scheme val="minor"/>
          </rPr>
          <t>Introduzca un codigo UNSPSC</t>
        </r>
      </text>
    </comment>
    <comment ref="B988" authorId="1" shapeId="0" xr:uid="{C214E909-7839-4519-9020-E31CDC064A71}">
      <text>
        <r>
          <rPr>
            <sz val="11"/>
            <color theme="1"/>
            <rFont val="Calibri"/>
            <family val="2"/>
            <scheme val="minor"/>
          </rPr>
          <t>Descripción calculada automáticamente a partir de código del artículo</t>
        </r>
      </text>
    </comment>
    <comment ref="C988" authorId="1" shapeId="0" xr:uid="{A81CB5C2-C91E-480B-ABBF-E9C73BBE174D}">
      <text>
        <r>
          <rPr>
            <sz val="11"/>
            <color theme="1"/>
            <rFont val="Calibri"/>
            <family val="2"/>
            <scheme val="minor"/>
          </rPr>
          <t>Seleccione un valor de la lista</t>
        </r>
      </text>
    </comment>
    <comment ref="D988" authorId="1" shapeId="0" xr:uid="{CC9B69FB-7B90-4912-AD67-DAAF420594CD}">
      <text>
        <r>
          <rPr>
            <sz val="11"/>
            <color theme="1"/>
            <rFont val="Calibri"/>
            <family val="2"/>
            <scheme val="minor"/>
          </rPr>
          <t>Introduzca un número con dos decimales como máximo. Debe ser igual o mayor a la "Cantidad Real Consumida"</t>
        </r>
      </text>
    </comment>
    <comment ref="E988" authorId="1" shapeId="0" xr:uid="{EDF7017B-213A-4527-A914-478386D6DC17}">
      <text>
        <r>
          <rPr>
            <sz val="11"/>
            <color theme="1"/>
            <rFont val="Calibri"/>
            <family val="2"/>
            <scheme val="minor"/>
          </rPr>
          <t>Introduzca un número con dos decimales como máximo</t>
        </r>
      </text>
    </comment>
    <comment ref="F988" authorId="1" shapeId="0" xr:uid="{7C411D6E-D978-439F-97E7-008D92C7BE0B}">
      <text>
        <r>
          <rPr>
            <sz val="11"/>
            <color theme="1"/>
            <rFont val="Calibri"/>
            <family val="2"/>
            <scheme val="minor"/>
          </rPr>
          <t>Monto calculado automáticamente por el sistema</t>
        </r>
      </text>
    </comment>
    <comment ref="A993" authorId="1" shapeId="0" xr:uid="{BC8E410D-AF10-4058-A455-2795DEE25E84}">
      <text>
        <r>
          <rPr>
            <sz val="11"/>
            <color theme="1"/>
            <rFont val="Calibri"/>
            <family val="2"/>
            <scheme val="minor"/>
          </rPr>
          <t>Introducir un texto con el nombre o referencia de la contratación</t>
        </r>
      </text>
    </comment>
    <comment ref="B993" authorId="1" shapeId="0" xr:uid="{05492E5E-675E-4650-9230-1C34D4325525}">
      <text>
        <r>
          <rPr>
            <sz val="11"/>
            <color theme="1"/>
            <rFont val="Calibri"/>
            <family val="2"/>
            <scheme val="minor"/>
          </rPr>
          <t>Introduzca un texto con la finalidad de la contratación</t>
        </r>
      </text>
    </comment>
    <comment ref="C993" authorId="1" shapeId="0" xr:uid="{0A1466C6-F3D0-40E7-B611-19A8D7EABAF6}">
      <text>
        <r>
          <rPr>
            <sz val="11"/>
            <color theme="1"/>
            <rFont val="Calibri"/>
            <family val="2"/>
            <scheme val="minor"/>
          </rPr>
          <t>Seleccionar un valor del listado</t>
        </r>
      </text>
    </comment>
    <comment ref="D993" authorId="1" shapeId="0" xr:uid="{15241397-D436-4D88-8645-537DD9B607F8}">
      <text>
        <r>
          <rPr>
            <sz val="11"/>
            <color theme="1"/>
            <rFont val="Calibri"/>
            <family val="2"/>
            <scheme val="minor"/>
          </rPr>
          <t>Seleccione el tipo de procedimiento</t>
        </r>
      </text>
    </comment>
    <comment ref="E993" authorId="1" shapeId="0" xr:uid="{603F40BF-2AF2-4677-9AE3-98A23617EC10}">
      <text>
        <r>
          <rPr>
            <sz val="11"/>
            <color theme="1"/>
            <rFont val="Calibri"/>
            <family val="2"/>
            <scheme val="minor"/>
          </rPr>
          <t>Seleccione un valor de la lista</t>
        </r>
      </text>
    </comment>
    <comment ref="F993" authorId="1" shapeId="0" xr:uid="{584A7F53-71E2-44C6-8266-245C7693E111}">
      <text>
        <r>
          <rPr>
            <sz val="11"/>
            <color theme="1"/>
            <rFont val="Calibri"/>
            <family val="2"/>
            <scheme val="minor"/>
          </rPr>
          <t>Introduzca el código SNIP</t>
        </r>
      </text>
    </comment>
    <comment ref="C994" authorId="1" shapeId="0" xr:uid="{752977B4-FA26-4828-87AB-B9AB06FA88CB}">
      <text>
        <r>
          <rPr>
            <sz val="11"/>
            <color theme="1"/>
            <rFont val="Calibri"/>
            <family val="2"/>
            <scheme val="minor"/>
          </rPr>
          <t>Introduzca la fecha de inicio del proceso, en formato dd-mm-aaaa</t>
        </r>
      </text>
    </comment>
    <comment ref="F994" authorId="1" shapeId="0" xr:uid="{39E7AD6D-A70F-4334-A01C-46EFEEC93F5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5" authorId="1" shapeId="0" xr:uid="{0F513E4B-BBA3-44EC-9ECC-1236B9986B50}">
      <text/>
    </comment>
    <comment ref="C996" authorId="1" shapeId="0" xr:uid="{23164A39-610E-49CC-908E-ADE500650843}">
      <text>
        <r>
          <rPr>
            <sz val="11"/>
            <color theme="1"/>
            <rFont val="Calibri"/>
            <family val="2"/>
            <scheme val="minor"/>
          </rPr>
          <t>Introduzca la fecha prevista de adjudicación, en formato dd-mm-aaaa</t>
        </r>
      </text>
    </comment>
    <comment ref="F996" authorId="1" shapeId="0" xr:uid="{83B61BC1-613A-4448-9B49-5900141314B2}">
      <text/>
    </comment>
    <comment ref="F997" authorId="1" shapeId="0" xr:uid="{1236959D-37F7-4296-90C2-AF836E284864}">
      <text/>
    </comment>
    <comment ref="A999" authorId="1" shapeId="0" xr:uid="{714CA530-C05C-4594-BCF1-FBC89B5E7786}">
      <text>
        <r>
          <rPr>
            <sz val="11"/>
            <color theme="1"/>
            <rFont val="Calibri"/>
            <family val="2"/>
            <scheme val="minor"/>
          </rPr>
          <t>Introduzca un codigo UNSPSC</t>
        </r>
      </text>
    </comment>
    <comment ref="B999" authorId="1" shapeId="0" xr:uid="{78DA9DEE-9BCC-48EE-881A-4DE78BB9A87A}">
      <text>
        <r>
          <rPr>
            <sz val="11"/>
            <color theme="1"/>
            <rFont val="Calibri"/>
            <family val="2"/>
            <scheme val="minor"/>
          </rPr>
          <t>Descripción calculada automáticamente a partir de código del artículo</t>
        </r>
      </text>
    </comment>
    <comment ref="C999" authorId="1" shapeId="0" xr:uid="{9B883A9E-650B-41D2-A85E-C3CCABF6F7A4}">
      <text>
        <r>
          <rPr>
            <sz val="11"/>
            <color theme="1"/>
            <rFont val="Calibri"/>
            <family val="2"/>
            <scheme val="minor"/>
          </rPr>
          <t>Seleccione un valor de la lista</t>
        </r>
      </text>
    </comment>
    <comment ref="D999" authorId="1" shapeId="0" xr:uid="{A7DB3AF4-E3B3-411F-BA91-1C8F8B88A739}">
      <text>
        <r>
          <rPr>
            <sz val="11"/>
            <color theme="1"/>
            <rFont val="Calibri"/>
            <family val="2"/>
            <scheme val="minor"/>
          </rPr>
          <t>Introduzca un número con dos decimales como máximo. Debe ser igual o mayor a la "Cantidad Real Consumida"</t>
        </r>
      </text>
    </comment>
    <comment ref="E999" authorId="1" shapeId="0" xr:uid="{3E99585F-5529-49B7-8026-BFB386DD72E9}">
      <text>
        <r>
          <rPr>
            <sz val="11"/>
            <color theme="1"/>
            <rFont val="Calibri"/>
            <family val="2"/>
            <scheme val="minor"/>
          </rPr>
          <t>Introduzca un número con dos decimales como máximo</t>
        </r>
      </text>
    </comment>
    <comment ref="F999" authorId="1" shapeId="0" xr:uid="{E2A3E034-D1AD-48A6-BFBB-61AF8FABD128}">
      <text>
        <r>
          <rPr>
            <sz val="11"/>
            <color theme="1"/>
            <rFont val="Calibri"/>
            <family val="2"/>
            <scheme val="minor"/>
          </rPr>
          <t>Monto calculado automáticamente por el sistema</t>
        </r>
      </text>
    </comment>
    <comment ref="A1009" authorId="1" shapeId="0" xr:uid="{CA1C9A5E-9B40-41DE-86F1-A52DBCFA5B0A}">
      <text>
        <r>
          <rPr>
            <sz val="11"/>
            <color theme="1"/>
            <rFont val="Calibri"/>
            <family val="2"/>
            <scheme val="minor"/>
          </rPr>
          <t>Introducir un texto con el nombre o referencia de la contratación</t>
        </r>
      </text>
    </comment>
    <comment ref="B1009" authorId="1" shapeId="0" xr:uid="{02ED16A2-35A1-4E3C-A809-C053B78AFF65}">
      <text>
        <r>
          <rPr>
            <sz val="11"/>
            <color theme="1"/>
            <rFont val="Calibri"/>
            <family val="2"/>
            <scheme val="minor"/>
          </rPr>
          <t>Introduzca un texto con la finalidad de la contratación</t>
        </r>
      </text>
    </comment>
    <comment ref="C1009" authorId="1" shapeId="0" xr:uid="{B3FE2FC1-30A6-4870-8F68-56CEA477C7B4}">
      <text>
        <r>
          <rPr>
            <sz val="11"/>
            <color theme="1"/>
            <rFont val="Calibri"/>
            <family val="2"/>
            <scheme val="minor"/>
          </rPr>
          <t>Seleccionar un valor del listado</t>
        </r>
      </text>
    </comment>
    <comment ref="D1009" authorId="1" shapeId="0" xr:uid="{EA6E1ADE-038B-48E4-B7BA-A78512E21C11}">
      <text>
        <r>
          <rPr>
            <sz val="11"/>
            <color theme="1"/>
            <rFont val="Calibri"/>
            <family val="2"/>
            <scheme val="minor"/>
          </rPr>
          <t>Seleccione el tipo de procedimiento</t>
        </r>
      </text>
    </comment>
    <comment ref="E1009" authorId="1" shapeId="0" xr:uid="{E07C185E-D9E2-4736-900B-0547D79A462E}">
      <text>
        <r>
          <rPr>
            <sz val="11"/>
            <color theme="1"/>
            <rFont val="Calibri"/>
            <family val="2"/>
            <scheme val="minor"/>
          </rPr>
          <t>Seleccione un valor de la lista</t>
        </r>
      </text>
    </comment>
    <comment ref="F1009" authorId="1" shapeId="0" xr:uid="{2D73EE1F-6568-413C-A6BE-FB4481251ED2}">
      <text>
        <r>
          <rPr>
            <sz val="11"/>
            <color theme="1"/>
            <rFont val="Calibri"/>
            <family val="2"/>
            <scheme val="minor"/>
          </rPr>
          <t>Introduzca el código SNIP</t>
        </r>
      </text>
    </comment>
    <comment ref="C1010" authorId="1" shapeId="0" xr:uid="{502EAFB3-DD88-4CB6-9D84-FAD2E4CC8059}">
      <text>
        <r>
          <rPr>
            <sz val="11"/>
            <color theme="1"/>
            <rFont val="Calibri"/>
            <family val="2"/>
            <scheme val="minor"/>
          </rPr>
          <t>Introduzca la fecha de inicio del proceso, en formato dd-mm-aaaa</t>
        </r>
      </text>
    </comment>
    <comment ref="F1010" authorId="1" shapeId="0" xr:uid="{353B4FD7-EB09-459D-A056-B1732B4A884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1" authorId="1" shapeId="0" xr:uid="{9FD5C2F3-41E9-402E-A326-446281B4B251}">
      <text/>
    </comment>
    <comment ref="C1012" authorId="1" shapeId="0" xr:uid="{00B54FB0-4575-4824-B85A-0B64CE550F72}">
      <text>
        <r>
          <rPr>
            <sz val="11"/>
            <color theme="1"/>
            <rFont val="Calibri"/>
            <family val="2"/>
            <scheme val="minor"/>
          </rPr>
          <t>Introduzca la fecha prevista de adjudicación, en formato dd-mm-aaaa</t>
        </r>
      </text>
    </comment>
    <comment ref="F1012" authorId="1" shapeId="0" xr:uid="{A7ACAFB6-999C-473B-9AAE-934A62535F3A}">
      <text/>
    </comment>
    <comment ref="F1013" authorId="1" shapeId="0" xr:uid="{3C128A94-38DD-4666-A8C7-7F0F7EBEC50A}">
      <text/>
    </comment>
    <comment ref="A1015" authorId="1" shapeId="0" xr:uid="{AB24CCE2-4D63-4405-AA30-4AB0D4A20E7A}">
      <text>
        <r>
          <rPr>
            <sz val="11"/>
            <color theme="1"/>
            <rFont val="Calibri"/>
            <family val="2"/>
            <scheme val="minor"/>
          </rPr>
          <t>Introduzca un codigo UNSPSC</t>
        </r>
      </text>
    </comment>
    <comment ref="B1015" authorId="1" shapeId="0" xr:uid="{262DA555-AC80-40F8-A2A4-07DDB84F3E9B}">
      <text>
        <r>
          <rPr>
            <sz val="11"/>
            <color theme="1"/>
            <rFont val="Calibri"/>
            <family val="2"/>
            <scheme val="minor"/>
          </rPr>
          <t>Descripción calculada automáticamente a partir de código del artículo</t>
        </r>
      </text>
    </comment>
    <comment ref="C1015" authorId="1" shapeId="0" xr:uid="{16C15477-9819-47C4-B7E3-15FDAEB28AF4}">
      <text>
        <r>
          <rPr>
            <sz val="11"/>
            <color theme="1"/>
            <rFont val="Calibri"/>
            <family val="2"/>
            <scheme val="minor"/>
          </rPr>
          <t>Seleccione un valor de la lista</t>
        </r>
      </text>
    </comment>
    <comment ref="D1015" authorId="1" shapeId="0" xr:uid="{359A234B-D0D0-4804-83A8-7EAC5210442E}">
      <text>
        <r>
          <rPr>
            <sz val="11"/>
            <color theme="1"/>
            <rFont val="Calibri"/>
            <family val="2"/>
            <scheme val="minor"/>
          </rPr>
          <t>Introduzca un número con dos decimales como máximo. Debe ser igual o mayor a la "Cantidad Real Consumida"</t>
        </r>
      </text>
    </comment>
    <comment ref="E1015" authorId="1" shapeId="0" xr:uid="{C2C8FCB2-E0E8-4330-8C79-B50E74CC9FCD}">
      <text>
        <r>
          <rPr>
            <sz val="11"/>
            <color theme="1"/>
            <rFont val="Calibri"/>
            <family val="2"/>
            <scheme val="minor"/>
          </rPr>
          <t>Introduzca un número con dos decimales como máximo</t>
        </r>
      </text>
    </comment>
    <comment ref="F1015" authorId="1" shapeId="0" xr:uid="{9602038C-41FA-4609-8279-51CF382E2665}">
      <text>
        <r>
          <rPr>
            <sz val="11"/>
            <color theme="1"/>
            <rFont val="Calibri"/>
            <family val="2"/>
            <scheme val="minor"/>
          </rPr>
          <t>Monto calculado automáticamente por el sistema</t>
        </r>
      </text>
    </comment>
    <comment ref="A1020" authorId="1" shapeId="0" xr:uid="{4DE4511E-700D-4634-A362-585590C696D0}">
      <text>
        <r>
          <rPr>
            <sz val="11"/>
            <color theme="1"/>
            <rFont val="Calibri"/>
            <family val="2"/>
            <scheme val="minor"/>
          </rPr>
          <t>Introducir un texto con el nombre o referencia de la contratación</t>
        </r>
      </text>
    </comment>
    <comment ref="B1020" authorId="1" shapeId="0" xr:uid="{FF6AB190-C083-40CF-9346-5F49BC5D52F0}">
      <text>
        <r>
          <rPr>
            <sz val="11"/>
            <color theme="1"/>
            <rFont val="Calibri"/>
            <family val="2"/>
            <scheme val="minor"/>
          </rPr>
          <t>Introduzca un texto con la finalidad de la contratación</t>
        </r>
      </text>
    </comment>
    <comment ref="C1020" authorId="1" shapeId="0" xr:uid="{172A9B83-269C-48B9-8476-1A96F677DD2C}">
      <text>
        <r>
          <rPr>
            <sz val="11"/>
            <color theme="1"/>
            <rFont val="Calibri"/>
            <family val="2"/>
            <scheme val="minor"/>
          </rPr>
          <t>Seleccionar un valor del listado</t>
        </r>
      </text>
    </comment>
    <comment ref="D1020" authorId="1" shapeId="0" xr:uid="{C223FB49-C29B-42A4-953E-FD1FAD0591E3}">
      <text>
        <r>
          <rPr>
            <sz val="11"/>
            <color theme="1"/>
            <rFont val="Calibri"/>
            <family val="2"/>
            <scheme val="minor"/>
          </rPr>
          <t>Seleccione el tipo de procedimiento</t>
        </r>
      </text>
    </comment>
    <comment ref="E1020" authorId="1" shapeId="0" xr:uid="{37BB3BFC-5BDB-4DA8-A970-E7F5BC9D3BC9}">
      <text>
        <r>
          <rPr>
            <sz val="11"/>
            <color theme="1"/>
            <rFont val="Calibri"/>
            <family val="2"/>
            <scheme val="minor"/>
          </rPr>
          <t>Seleccione un valor de la lista</t>
        </r>
      </text>
    </comment>
    <comment ref="F1020" authorId="1" shapeId="0" xr:uid="{A4208FDC-4BC2-45FD-BD78-056E3A4237AA}">
      <text>
        <r>
          <rPr>
            <sz val="11"/>
            <color theme="1"/>
            <rFont val="Calibri"/>
            <family val="2"/>
            <scheme val="minor"/>
          </rPr>
          <t>Introduzca el código SNIP</t>
        </r>
      </text>
    </comment>
    <comment ref="C1021" authorId="1" shapeId="0" xr:uid="{7315A728-83C3-4CE4-9B70-A08C74CCFB1D}">
      <text>
        <r>
          <rPr>
            <sz val="11"/>
            <color theme="1"/>
            <rFont val="Calibri"/>
            <family val="2"/>
            <scheme val="minor"/>
          </rPr>
          <t>Introduzca la fecha de inicio del proceso, en formato dd-mm-aaaa</t>
        </r>
      </text>
    </comment>
    <comment ref="F1021" authorId="1" shapeId="0" xr:uid="{213CBF13-A8F0-455B-9C7D-5A9A4295E3E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2" authorId="1" shapeId="0" xr:uid="{DAE24999-8A62-42A4-8BC2-0686A63030A3}">
      <text/>
    </comment>
    <comment ref="C1023" authorId="1" shapeId="0" xr:uid="{669C0A52-88B1-4DF7-AC12-706CFD499081}">
      <text>
        <r>
          <rPr>
            <sz val="11"/>
            <color theme="1"/>
            <rFont val="Calibri"/>
            <family val="2"/>
            <scheme val="minor"/>
          </rPr>
          <t>Introduzca la fecha prevista de adjudicación, en formato dd-mm-aaaa</t>
        </r>
      </text>
    </comment>
    <comment ref="F1023" authorId="1" shapeId="0" xr:uid="{F9D63725-446E-4D52-A650-5F7573FC81B9}">
      <text/>
    </comment>
    <comment ref="F1024" authorId="1" shapeId="0" xr:uid="{7F309A9E-5AF2-441A-8786-B5B1B8A34612}">
      <text/>
    </comment>
    <comment ref="A1026" authorId="1" shapeId="0" xr:uid="{2E088FED-E1B0-4FBC-89F7-5930762C9DC3}">
      <text>
        <r>
          <rPr>
            <sz val="11"/>
            <color theme="1"/>
            <rFont val="Calibri"/>
            <family val="2"/>
            <scheme val="minor"/>
          </rPr>
          <t>Introduzca un codigo UNSPSC</t>
        </r>
      </text>
    </comment>
    <comment ref="B1026" authorId="1" shapeId="0" xr:uid="{E35757A0-3A5C-4F1A-975D-61B465C9763F}">
      <text>
        <r>
          <rPr>
            <sz val="11"/>
            <color theme="1"/>
            <rFont val="Calibri"/>
            <family val="2"/>
            <scheme val="minor"/>
          </rPr>
          <t>Descripción calculada automáticamente a partir de código del artículo</t>
        </r>
      </text>
    </comment>
    <comment ref="C1026" authorId="1" shapeId="0" xr:uid="{A506B17B-8FBC-4DA8-97CB-6D2847ACA045}">
      <text>
        <r>
          <rPr>
            <sz val="11"/>
            <color theme="1"/>
            <rFont val="Calibri"/>
            <family val="2"/>
            <scheme val="minor"/>
          </rPr>
          <t>Seleccione un valor de la lista</t>
        </r>
      </text>
    </comment>
    <comment ref="D1026" authorId="1" shapeId="0" xr:uid="{2D320000-98F6-4E77-834B-CE9AB0F8EA55}">
      <text>
        <r>
          <rPr>
            <sz val="11"/>
            <color theme="1"/>
            <rFont val="Calibri"/>
            <family val="2"/>
            <scheme val="minor"/>
          </rPr>
          <t>Introduzca un número con dos decimales como máximo. Debe ser igual o mayor a la "Cantidad Real Consumida"</t>
        </r>
      </text>
    </comment>
    <comment ref="E1026" authorId="1" shapeId="0" xr:uid="{E0030262-83A1-41B0-8CB6-9F252C6D1B24}">
      <text>
        <r>
          <rPr>
            <sz val="11"/>
            <color theme="1"/>
            <rFont val="Calibri"/>
            <family val="2"/>
            <scheme val="minor"/>
          </rPr>
          <t>Introduzca un número con dos decimales como máximo</t>
        </r>
      </text>
    </comment>
    <comment ref="F1026" authorId="1" shapeId="0" xr:uid="{9BA49DC7-4E34-41F9-81C3-650656EA4553}">
      <text>
        <r>
          <rPr>
            <sz val="11"/>
            <color theme="1"/>
            <rFont val="Calibri"/>
            <family val="2"/>
            <scheme val="minor"/>
          </rPr>
          <t>Monto calculado automáticamente por el sistema</t>
        </r>
      </text>
    </comment>
    <comment ref="A1031" authorId="1" shapeId="0" xr:uid="{369A77DB-2EBD-425D-B149-EF35C4F7D870}">
      <text>
        <r>
          <rPr>
            <sz val="11"/>
            <color theme="1"/>
            <rFont val="Calibri"/>
            <family val="2"/>
            <scheme val="minor"/>
          </rPr>
          <t>Introducir un texto con el nombre o referencia de la contratación</t>
        </r>
      </text>
    </comment>
    <comment ref="B1031" authorId="1" shapeId="0" xr:uid="{CB615E4D-EC84-4C84-9D66-3C0A91D9B8B6}">
      <text>
        <r>
          <rPr>
            <sz val="11"/>
            <color theme="1"/>
            <rFont val="Calibri"/>
            <family val="2"/>
            <scheme val="minor"/>
          </rPr>
          <t>Introduzca un texto con la finalidad de la contratación</t>
        </r>
      </text>
    </comment>
    <comment ref="C1031" authorId="1" shapeId="0" xr:uid="{ED0A3AD0-05E5-48B7-9B4A-AFD30027E825}">
      <text>
        <r>
          <rPr>
            <sz val="11"/>
            <color theme="1"/>
            <rFont val="Calibri"/>
            <family val="2"/>
            <scheme val="minor"/>
          </rPr>
          <t>Seleccionar un valor del listado</t>
        </r>
      </text>
    </comment>
    <comment ref="D1031" authorId="1" shapeId="0" xr:uid="{662B12FB-BF6A-423A-92F2-0DBADDFFE4F5}">
      <text>
        <r>
          <rPr>
            <sz val="11"/>
            <color theme="1"/>
            <rFont val="Calibri"/>
            <family val="2"/>
            <scheme val="minor"/>
          </rPr>
          <t>Seleccione el tipo de procedimiento</t>
        </r>
      </text>
    </comment>
    <comment ref="E1031" authorId="1" shapeId="0" xr:uid="{4A76BED7-87FB-4F40-88FA-4BD434439A99}">
      <text>
        <r>
          <rPr>
            <sz val="11"/>
            <color theme="1"/>
            <rFont val="Calibri"/>
            <family val="2"/>
            <scheme val="minor"/>
          </rPr>
          <t>Seleccione un valor de la lista</t>
        </r>
      </text>
    </comment>
    <comment ref="F1031" authorId="1" shapeId="0" xr:uid="{4C489542-FF0D-4755-9069-E1CA43DC2BE0}">
      <text>
        <r>
          <rPr>
            <sz val="11"/>
            <color theme="1"/>
            <rFont val="Calibri"/>
            <family val="2"/>
            <scheme val="minor"/>
          </rPr>
          <t>Introduzca el código SNIP</t>
        </r>
      </text>
    </comment>
    <comment ref="C1032" authorId="1" shapeId="0" xr:uid="{FAF7949E-29A1-467A-BC76-E2223C88E513}">
      <text>
        <r>
          <rPr>
            <sz val="11"/>
            <color theme="1"/>
            <rFont val="Calibri"/>
            <family val="2"/>
            <scheme val="minor"/>
          </rPr>
          <t>Introduzca la fecha de inicio del proceso, en formato dd-mm-aaaa</t>
        </r>
      </text>
    </comment>
    <comment ref="F1032" authorId="1" shapeId="0" xr:uid="{246CC653-391F-4955-A44F-2F87BE061C3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3" authorId="1" shapeId="0" xr:uid="{58B51EAC-D4B5-48A4-9BD5-8BE029649AFF}">
      <text/>
    </comment>
    <comment ref="C1034" authorId="1" shapeId="0" xr:uid="{2FD9969D-2E7A-4DA5-BF3E-4547BCA2940C}">
      <text>
        <r>
          <rPr>
            <sz val="11"/>
            <color theme="1"/>
            <rFont val="Calibri"/>
            <family val="2"/>
            <scheme val="minor"/>
          </rPr>
          <t>Introduzca la fecha prevista de adjudicación, en formato dd-mm-aaaa</t>
        </r>
      </text>
    </comment>
    <comment ref="F1034" authorId="1" shapeId="0" xr:uid="{205B33F2-152E-4D6E-8E96-1173D8102D78}">
      <text/>
    </comment>
    <comment ref="F1035" authorId="1" shapeId="0" xr:uid="{196F5316-0E25-4A13-BBC8-BFA085FAB416}">
      <text/>
    </comment>
    <comment ref="A1037" authorId="1" shapeId="0" xr:uid="{CAEF2FE7-6B01-4992-9E6E-2E3805FA6132}">
      <text>
        <r>
          <rPr>
            <sz val="11"/>
            <color theme="1"/>
            <rFont val="Calibri"/>
            <family val="2"/>
            <scheme val="minor"/>
          </rPr>
          <t>Introduzca un codigo UNSPSC</t>
        </r>
      </text>
    </comment>
    <comment ref="B1037" authorId="1" shapeId="0" xr:uid="{2C6C01EA-0AF1-48EB-AB71-2EBC56CD4189}">
      <text>
        <r>
          <rPr>
            <sz val="11"/>
            <color theme="1"/>
            <rFont val="Calibri"/>
            <family val="2"/>
            <scheme val="minor"/>
          </rPr>
          <t>Descripción calculada automáticamente a partir de código del artículo</t>
        </r>
      </text>
    </comment>
    <comment ref="C1037" authorId="1" shapeId="0" xr:uid="{FB5C15F9-951D-48A6-B9B8-B6F085CD30B7}">
      <text>
        <r>
          <rPr>
            <sz val="11"/>
            <color theme="1"/>
            <rFont val="Calibri"/>
            <family val="2"/>
            <scheme val="minor"/>
          </rPr>
          <t>Seleccione un valor de la lista</t>
        </r>
      </text>
    </comment>
    <comment ref="D1037" authorId="1" shapeId="0" xr:uid="{0501B56D-9D85-45B7-834B-1D86BF84DF5B}">
      <text>
        <r>
          <rPr>
            <sz val="11"/>
            <color theme="1"/>
            <rFont val="Calibri"/>
            <family val="2"/>
            <scheme val="minor"/>
          </rPr>
          <t>Introduzca un número con dos decimales como máximo. Debe ser igual o mayor a la "Cantidad Real Consumida"</t>
        </r>
      </text>
    </comment>
    <comment ref="E1037" authorId="1" shapeId="0" xr:uid="{014C7FCC-FC7A-4590-B791-4455D2088022}">
      <text>
        <r>
          <rPr>
            <sz val="11"/>
            <color theme="1"/>
            <rFont val="Calibri"/>
            <family val="2"/>
            <scheme val="minor"/>
          </rPr>
          <t>Introduzca un número con dos decimales como máximo</t>
        </r>
      </text>
    </comment>
    <comment ref="F1037" authorId="1" shapeId="0" xr:uid="{B714FCE8-0D68-4F63-BD91-6FD35BEB72E5}">
      <text>
        <r>
          <rPr>
            <sz val="11"/>
            <color theme="1"/>
            <rFont val="Calibri"/>
            <family val="2"/>
            <scheme val="minor"/>
          </rPr>
          <t>Monto calculado automáticamente por el sistema</t>
        </r>
      </text>
    </comment>
    <comment ref="A1043" authorId="1" shapeId="0" xr:uid="{A8BB251F-093A-4970-AE40-8A0CEA63C9F0}">
      <text>
        <r>
          <rPr>
            <sz val="11"/>
            <color theme="1"/>
            <rFont val="Calibri"/>
            <family val="2"/>
            <scheme val="minor"/>
          </rPr>
          <t>Introducir un texto con el nombre o referencia de la contratación</t>
        </r>
      </text>
    </comment>
    <comment ref="B1043" authorId="1" shapeId="0" xr:uid="{54992851-6AEC-4FF2-904C-9CD5B706B9E8}">
      <text>
        <r>
          <rPr>
            <sz val="11"/>
            <color theme="1"/>
            <rFont val="Calibri"/>
            <family val="2"/>
            <scheme val="minor"/>
          </rPr>
          <t>Introduzca un texto con la finalidad de la contratación</t>
        </r>
      </text>
    </comment>
    <comment ref="C1043" authorId="1" shapeId="0" xr:uid="{21E6E3F7-F635-48E7-9891-69E6B76E2212}">
      <text>
        <r>
          <rPr>
            <sz val="11"/>
            <color theme="1"/>
            <rFont val="Calibri"/>
            <family val="2"/>
            <scheme val="minor"/>
          </rPr>
          <t>Seleccionar un valor del listado</t>
        </r>
      </text>
    </comment>
    <comment ref="D1043" authorId="1" shapeId="0" xr:uid="{EDE17F45-2C2D-4DD3-A8B6-C096B7E18F41}">
      <text>
        <r>
          <rPr>
            <sz val="11"/>
            <color theme="1"/>
            <rFont val="Calibri"/>
            <family val="2"/>
            <scheme val="minor"/>
          </rPr>
          <t>Seleccione el tipo de procedimiento</t>
        </r>
      </text>
    </comment>
    <comment ref="E1043" authorId="1" shapeId="0" xr:uid="{C060EF6E-EA66-46DA-9E8F-1F75456D51CF}">
      <text>
        <r>
          <rPr>
            <sz val="11"/>
            <color theme="1"/>
            <rFont val="Calibri"/>
            <family val="2"/>
            <scheme val="minor"/>
          </rPr>
          <t>Seleccione un valor de la lista</t>
        </r>
      </text>
    </comment>
    <comment ref="F1043" authorId="1" shapeId="0" xr:uid="{230C03C3-0610-47B8-AB05-4FF1C5823186}">
      <text>
        <r>
          <rPr>
            <sz val="11"/>
            <color theme="1"/>
            <rFont val="Calibri"/>
            <family val="2"/>
            <scheme val="minor"/>
          </rPr>
          <t>Introduzca el código SNIP</t>
        </r>
      </text>
    </comment>
    <comment ref="C1044" authorId="1" shapeId="0" xr:uid="{BE0AB432-B2C0-4562-9062-33AE65264E7A}">
      <text>
        <r>
          <rPr>
            <sz val="11"/>
            <color theme="1"/>
            <rFont val="Calibri"/>
            <family val="2"/>
            <scheme val="minor"/>
          </rPr>
          <t>Introduzca la fecha de inicio del proceso, en formato dd-mm-aaaa</t>
        </r>
      </text>
    </comment>
    <comment ref="F1044" authorId="1" shapeId="0" xr:uid="{A4793127-9508-46CF-BE2B-DC90EFFAB2C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5" authorId="1" shapeId="0" xr:uid="{B62306BD-B8A8-469F-9238-5CCD58456101}">
      <text/>
    </comment>
    <comment ref="C1046" authorId="1" shapeId="0" xr:uid="{D48E66F3-B295-42CB-B11D-EC283224024D}">
      <text>
        <r>
          <rPr>
            <sz val="11"/>
            <color theme="1"/>
            <rFont val="Calibri"/>
            <family val="2"/>
            <scheme val="minor"/>
          </rPr>
          <t>Introduzca la fecha prevista de adjudicación, en formato dd-mm-aaaa</t>
        </r>
      </text>
    </comment>
    <comment ref="F1046" authorId="1" shapeId="0" xr:uid="{E733293C-A36F-4169-A678-FE6899BE2D9F}">
      <text/>
    </comment>
    <comment ref="F1047" authorId="1" shapeId="0" xr:uid="{A8E5EEE3-3361-489C-BA38-5449801B195C}">
      <text/>
    </comment>
    <comment ref="A1049" authorId="1" shapeId="0" xr:uid="{6E7F16F2-4F1C-4887-BB3C-B01B5F16CA87}">
      <text>
        <r>
          <rPr>
            <sz val="11"/>
            <color theme="1"/>
            <rFont val="Calibri"/>
            <family val="2"/>
            <scheme val="minor"/>
          </rPr>
          <t>Introduzca un codigo UNSPSC</t>
        </r>
      </text>
    </comment>
    <comment ref="B1049" authorId="1" shapeId="0" xr:uid="{229AAA37-62BE-4FFE-82F9-429B0CA3D544}">
      <text>
        <r>
          <rPr>
            <sz val="11"/>
            <color theme="1"/>
            <rFont val="Calibri"/>
            <family val="2"/>
            <scheme val="minor"/>
          </rPr>
          <t>Descripción calculada automáticamente a partir de código del artículo</t>
        </r>
      </text>
    </comment>
    <comment ref="C1049" authorId="1" shapeId="0" xr:uid="{334B87DC-A8E0-4AB1-B235-536AABBBD808}">
      <text>
        <r>
          <rPr>
            <sz val="11"/>
            <color theme="1"/>
            <rFont val="Calibri"/>
            <family val="2"/>
            <scheme val="minor"/>
          </rPr>
          <t>Seleccione un valor de la lista</t>
        </r>
      </text>
    </comment>
    <comment ref="D1049" authorId="1" shapeId="0" xr:uid="{12845FF4-C669-44B7-9D95-3C14D2302F43}">
      <text>
        <r>
          <rPr>
            <sz val="11"/>
            <color theme="1"/>
            <rFont val="Calibri"/>
            <family val="2"/>
            <scheme val="minor"/>
          </rPr>
          <t>Introduzca un número con dos decimales como máximo. Debe ser igual o mayor a la "Cantidad Real Consumida"</t>
        </r>
      </text>
    </comment>
    <comment ref="E1049" authorId="1" shapeId="0" xr:uid="{E9865A77-51C7-4E0B-8EC8-013F03550267}">
      <text>
        <r>
          <rPr>
            <sz val="11"/>
            <color theme="1"/>
            <rFont val="Calibri"/>
            <family val="2"/>
            <scheme val="minor"/>
          </rPr>
          <t>Introduzca un número con dos decimales como máximo</t>
        </r>
      </text>
    </comment>
    <comment ref="F1049" authorId="1" shapeId="0" xr:uid="{9BC0AD90-3D37-454D-9609-BEE9CA5D283A}">
      <text>
        <r>
          <rPr>
            <sz val="11"/>
            <color theme="1"/>
            <rFont val="Calibri"/>
            <family val="2"/>
            <scheme val="minor"/>
          </rPr>
          <t>Monto calculado automáticamente por el sistema</t>
        </r>
      </text>
    </comment>
    <comment ref="A1056" authorId="1" shapeId="0" xr:uid="{F6692D0B-783A-4BD2-B237-407EAB8DCB9E}">
      <text>
        <r>
          <rPr>
            <sz val="11"/>
            <color theme="1"/>
            <rFont val="Calibri"/>
            <family val="2"/>
            <scheme val="minor"/>
          </rPr>
          <t>Introducir un texto con el nombre o referencia de la contratación</t>
        </r>
      </text>
    </comment>
    <comment ref="B1056" authorId="1" shapeId="0" xr:uid="{8B2E1F0B-83EA-4D1F-ACF4-5718F2FFE7EB}">
      <text>
        <r>
          <rPr>
            <sz val="11"/>
            <color theme="1"/>
            <rFont val="Calibri"/>
            <family val="2"/>
            <scheme val="minor"/>
          </rPr>
          <t>Introduzca un texto con la finalidad de la contratación</t>
        </r>
      </text>
    </comment>
    <comment ref="C1056" authorId="1" shapeId="0" xr:uid="{25ED63BA-3E3E-44EA-9B8A-B89319B166AB}">
      <text>
        <r>
          <rPr>
            <sz val="11"/>
            <color theme="1"/>
            <rFont val="Calibri"/>
            <family val="2"/>
            <scheme val="minor"/>
          </rPr>
          <t>Seleccionar un valor del listado</t>
        </r>
      </text>
    </comment>
    <comment ref="D1056" authorId="1" shapeId="0" xr:uid="{DFA99A15-DC7C-40EE-9D1B-DC34B19E7647}">
      <text>
        <r>
          <rPr>
            <sz val="11"/>
            <color theme="1"/>
            <rFont val="Calibri"/>
            <family val="2"/>
            <scheme val="minor"/>
          </rPr>
          <t>Seleccione el tipo de procedimiento</t>
        </r>
      </text>
    </comment>
    <comment ref="E1056" authorId="1" shapeId="0" xr:uid="{654F7C24-8FAC-429A-A774-8F32155FC392}">
      <text>
        <r>
          <rPr>
            <sz val="11"/>
            <color theme="1"/>
            <rFont val="Calibri"/>
            <family val="2"/>
            <scheme val="minor"/>
          </rPr>
          <t>Seleccione un valor de la lista</t>
        </r>
      </text>
    </comment>
    <comment ref="F1056" authorId="1" shapeId="0" xr:uid="{888ECF7E-D4C3-4B88-BDA9-A3E92E269FE9}">
      <text>
        <r>
          <rPr>
            <sz val="11"/>
            <color theme="1"/>
            <rFont val="Calibri"/>
            <family val="2"/>
            <scheme val="minor"/>
          </rPr>
          <t>Introduzca el código SNIP</t>
        </r>
      </text>
    </comment>
    <comment ref="C1057" authorId="1" shapeId="0" xr:uid="{59AFC189-2DD3-4202-9C0F-9CA793805C35}">
      <text>
        <r>
          <rPr>
            <sz val="11"/>
            <color theme="1"/>
            <rFont val="Calibri"/>
            <family val="2"/>
            <scheme val="minor"/>
          </rPr>
          <t>Introduzca la fecha de inicio del proceso, en formato dd-mm-aaaa</t>
        </r>
      </text>
    </comment>
    <comment ref="F1057" authorId="1" shapeId="0" xr:uid="{4C48C570-23B7-47CD-8046-67B8CC7327C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8" authorId="1" shapeId="0" xr:uid="{DFB37DF2-2822-4F78-87C5-25124DA9B4A9}">
      <text/>
    </comment>
    <comment ref="C1059" authorId="1" shapeId="0" xr:uid="{61B221E6-5EA0-4032-A381-C0EA8356AEF3}">
      <text>
        <r>
          <rPr>
            <sz val="11"/>
            <color theme="1"/>
            <rFont val="Calibri"/>
            <family val="2"/>
            <scheme val="minor"/>
          </rPr>
          <t>Introduzca la fecha prevista de adjudicación, en formato dd-mm-aaaa</t>
        </r>
      </text>
    </comment>
    <comment ref="F1059" authorId="1" shapeId="0" xr:uid="{F92ECC19-DC1A-4D5F-96DE-C3F0EBA16299}">
      <text/>
    </comment>
    <comment ref="F1060" authorId="1" shapeId="0" xr:uid="{5751152E-B743-4E7C-88AD-EAAF87D55FFC}">
      <text/>
    </comment>
    <comment ref="A1062" authorId="1" shapeId="0" xr:uid="{C5575698-A055-4537-9EA8-3450F3798106}">
      <text>
        <r>
          <rPr>
            <sz val="11"/>
            <color theme="1"/>
            <rFont val="Calibri"/>
            <family val="2"/>
            <scheme val="minor"/>
          </rPr>
          <t>Introduzca un codigo UNSPSC</t>
        </r>
      </text>
    </comment>
    <comment ref="B1062" authorId="1" shapeId="0" xr:uid="{8874661C-2E71-4073-AD2C-48F2FFD2BBDF}">
      <text>
        <r>
          <rPr>
            <sz val="11"/>
            <color theme="1"/>
            <rFont val="Calibri"/>
            <family val="2"/>
            <scheme val="minor"/>
          </rPr>
          <t>Descripción calculada automáticamente a partir de código del artículo</t>
        </r>
      </text>
    </comment>
    <comment ref="C1062" authorId="1" shapeId="0" xr:uid="{0C8B3D3F-17D2-4D77-99FD-84B1670818FB}">
      <text>
        <r>
          <rPr>
            <sz val="11"/>
            <color theme="1"/>
            <rFont val="Calibri"/>
            <family val="2"/>
            <scheme val="minor"/>
          </rPr>
          <t>Seleccione un valor de la lista</t>
        </r>
      </text>
    </comment>
    <comment ref="D1062" authorId="1" shapeId="0" xr:uid="{31ED88FD-8F3C-4699-8D78-5733127CCF9F}">
      <text>
        <r>
          <rPr>
            <sz val="11"/>
            <color theme="1"/>
            <rFont val="Calibri"/>
            <family val="2"/>
            <scheme val="minor"/>
          </rPr>
          <t>Introduzca un número con dos decimales como máximo. Debe ser igual o mayor a la "Cantidad Real Consumida"</t>
        </r>
      </text>
    </comment>
    <comment ref="E1062" authorId="1" shapeId="0" xr:uid="{EB0DCFA9-450C-4E4B-BA5F-F96D46E8CCFF}">
      <text>
        <r>
          <rPr>
            <sz val="11"/>
            <color theme="1"/>
            <rFont val="Calibri"/>
            <family val="2"/>
            <scheme val="minor"/>
          </rPr>
          <t>Introduzca un número con dos decimales como máximo</t>
        </r>
      </text>
    </comment>
    <comment ref="F1062" authorId="1" shapeId="0" xr:uid="{0AF88276-AEEE-4D2A-B661-075D2913FC49}">
      <text>
        <r>
          <rPr>
            <sz val="11"/>
            <color theme="1"/>
            <rFont val="Calibri"/>
            <family val="2"/>
            <scheme val="minor"/>
          </rPr>
          <t>Monto calculado automáticamente por el sistema</t>
        </r>
      </text>
    </comment>
    <comment ref="A1068" authorId="1" shapeId="0" xr:uid="{C6A2FF82-2B25-4212-B72D-4BABE01507BE}">
      <text>
        <r>
          <rPr>
            <sz val="11"/>
            <color theme="1"/>
            <rFont val="Calibri"/>
            <family val="2"/>
            <scheme val="minor"/>
          </rPr>
          <t>Introducir un texto con el nombre o referencia de la contratación</t>
        </r>
      </text>
    </comment>
    <comment ref="B1068" authorId="1" shapeId="0" xr:uid="{B1006517-83B1-41EB-A996-06AD17577AC8}">
      <text>
        <r>
          <rPr>
            <sz val="11"/>
            <color theme="1"/>
            <rFont val="Calibri"/>
            <family val="2"/>
            <scheme val="minor"/>
          </rPr>
          <t>Introduzca un texto con la finalidad de la contratación</t>
        </r>
      </text>
    </comment>
    <comment ref="C1068" authorId="1" shapeId="0" xr:uid="{185C40DB-ED45-40F9-BAC8-695EF3E40E23}">
      <text>
        <r>
          <rPr>
            <sz val="11"/>
            <color theme="1"/>
            <rFont val="Calibri"/>
            <family val="2"/>
            <scheme val="minor"/>
          </rPr>
          <t>Seleccionar un valor del listado</t>
        </r>
      </text>
    </comment>
    <comment ref="D1068" authorId="1" shapeId="0" xr:uid="{C2BFE2DE-6C2E-4B38-B9D8-FDFCA3613B82}">
      <text>
        <r>
          <rPr>
            <sz val="11"/>
            <color theme="1"/>
            <rFont val="Calibri"/>
            <family val="2"/>
            <scheme val="minor"/>
          </rPr>
          <t>Seleccione el tipo de procedimiento</t>
        </r>
      </text>
    </comment>
    <comment ref="E1068" authorId="1" shapeId="0" xr:uid="{84535EBA-F1AB-43C6-A8FB-EAF7CAF88491}">
      <text>
        <r>
          <rPr>
            <sz val="11"/>
            <color theme="1"/>
            <rFont val="Calibri"/>
            <family val="2"/>
            <scheme val="minor"/>
          </rPr>
          <t>Seleccione un valor de la lista</t>
        </r>
      </text>
    </comment>
    <comment ref="F1068" authorId="1" shapeId="0" xr:uid="{7F6A1E64-27F9-430D-B224-AA00681B3E65}">
      <text>
        <r>
          <rPr>
            <sz val="11"/>
            <color theme="1"/>
            <rFont val="Calibri"/>
            <family val="2"/>
            <scheme val="minor"/>
          </rPr>
          <t>Introduzca el código SNIP</t>
        </r>
      </text>
    </comment>
    <comment ref="C1069" authorId="1" shapeId="0" xr:uid="{B657C0A4-0158-4607-952E-D1FFAD186E8E}">
      <text>
        <r>
          <rPr>
            <sz val="11"/>
            <color theme="1"/>
            <rFont val="Calibri"/>
            <family val="2"/>
            <scheme val="minor"/>
          </rPr>
          <t>Introduzca la fecha de inicio del proceso, en formato dd-mm-aaaa</t>
        </r>
      </text>
    </comment>
    <comment ref="F1069" authorId="1" shapeId="0" xr:uid="{8D6577BB-1393-4034-A775-4BD9434716A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0" authorId="1" shapeId="0" xr:uid="{BE2D91BC-C66C-4B50-A3A3-A5D66AF20682}">
      <text/>
    </comment>
    <comment ref="C1071" authorId="1" shapeId="0" xr:uid="{6B7BFF99-FA26-4EC1-8B4A-FC8A7CA1E5B1}">
      <text>
        <r>
          <rPr>
            <sz val="11"/>
            <color theme="1"/>
            <rFont val="Calibri"/>
            <family val="2"/>
            <scheme val="minor"/>
          </rPr>
          <t>Introduzca la fecha prevista de adjudicación, en formato dd-mm-aaaa</t>
        </r>
      </text>
    </comment>
    <comment ref="F1071" authorId="1" shapeId="0" xr:uid="{20503C02-4BCE-404B-9B82-14B079BA8517}">
      <text/>
    </comment>
    <comment ref="F1072" authorId="1" shapeId="0" xr:uid="{6BAA4043-FA54-483F-9A1E-647972718DB4}">
      <text/>
    </comment>
    <comment ref="A1074" authorId="1" shapeId="0" xr:uid="{F76FD9D2-4A9D-4CAB-AB1A-8F788CBC07B5}">
      <text>
        <r>
          <rPr>
            <sz val="11"/>
            <color theme="1"/>
            <rFont val="Calibri"/>
            <family val="2"/>
            <scheme val="minor"/>
          </rPr>
          <t>Introduzca un codigo UNSPSC</t>
        </r>
      </text>
    </comment>
    <comment ref="B1074" authorId="1" shapeId="0" xr:uid="{CF80FC1E-2310-4FFD-85EE-1114798DAEFA}">
      <text>
        <r>
          <rPr>
            <sz val="11"/>
            <color theme="1"/>
            <rFont val="Calibri"/>
            <family val="2"/>
            <scheme val="minor"/>
          </rPr>
          <t>Descripción calculada automáticamente a partir de código del artículo</t>
        </r>
      </text>
    </comment>
    <comment ref="C1074" authorId="1" shapeId="0" xr:uid="{980FECD6-E3D7-4308-9D0A-334DD6F15CC5}">
      <text>
        <r>
          <rPr>
            <sz val="11"/>
            <color theme="1"/>
            <rFont val="Calibri"/>
            <family val="2"/>
            <scheme val="minor"/>
          </rPr>
          <t>Seleccione un valor de la lista</t>
        </r>
      </text>
    </comment>
    <comment ref="D1074" authorId="1" shapeId="0" xr:uid="{FF45C64A-ECB1-403E-9E2A-5F48B4572920}">
      <text>
        <r>
          <rPr>
            <sz val="11"/>
            <color theme="1"/>
            <rFont val="Calibri"/>
            <family val="2"/>
            <scheme val="minor"/>
          </rPr>
          <t>Introduzca un número con dos decimales como máximo. Debe ser igual o mayor a la "Cantidad Real Consumida"</t>
        </r>
      </text>
    </comment>
    <comment ref="E1074" authorId="1" shapeId="0" xr:uid="{3A823337-CE60-4703-A33D-70D4B3780315}">
      <text>
        <r>
          <rPr>
            <sz val="11"/>
            <color theme="1"/>
            <rFont val="Calibri"/>
            <family val="2"/>
            <scheme val="minor"/>
          </rPr>
          <t>Introduzca un número con dos decimales como máximo</t>
        </r>
      </text>
    </comment>
    <comment ref="F1074" authorId="1" shapeId="0" xr:uid="{53B204EE-04C9-4076-9F67-1A36ECE68239}">
      <text>
        <r>
          <rPr>
            <sz val="11"/>
            <color theme="1"/>
            <rFont val="Calibri"/>
            <family val="2"/>
            <scheme val="minor"/>
          </rPr>
          <t>Monto calculado automáticamente por el sistema</t>
        </r>
      </text>
    </comment>
    <comment ref="A1081" authorId="1" shapeId="0" xr:uid="{8A033C13-D758-47AA-95AA-916C9F7ED078}">
      <text>
        <r>
          <rPr>
            <sz val="11"/>
            <color theme="1"/>
            <rFont val="Calibri"/>
            <family val="2"/>
            <scheme val="minor"/>
          </rPr>
          <t>Introducir un texto con el nombre o referencia de la contratación</t>
        </r>
      </text>
    </comment>
    <comment ref="B1081" authorId="1" shapeId="0" xr:uid="{16BE6EFF-E659-40B7-A236-94ABC5332780}">
      <text>
        <r>
          <rPr>
            <sz val="11"/>
            <color theme="1"/>
            <rFont val="Calibri"/>
            <family val="2"/>
            <scheme val="minor"/>
          </rPr>
          <t>Introduzca un texto con la finalidad de la contratación</t>
        </r>
      </text>
    </comment>
    <comment ref="C1081" authorId="1" shapeId="0" xr:uid="{8803BEED-391E-4C07-A8AA-8C941EF177C2}">
      <text>
        <r>
          <rPr>
            <sz val="11"/>
            <color theme="1"/>
            <rFont val="Calibri"/>
            <family val="2"/>
            <scheme val="minor"/>
          </rPr>
          <t>Seleccionar un valor del listado</t>
        </r>
      </text>
    </comment>
    <comment ref="D1081" authorId="1" shapeId="0" xr:uid="{D26016BD-AB05-46A9-B49A-48CA409B022F}">
      <text>
        <r>
          <rPr>
            <sz val="11"/>
            <color theme="1"/>
            <rFont val="Calibri"/>
            <family val="2"/>
            <scheme val="minor"/>
          </rPr>
          <t>Seleccione el tipo de procedimiento</t>
        </r>
      </text>
    </comment>
    <comment ref="E1081" authorId="1" shapeId="0" xr:uid="{1651AB8C-2F12-4169-85B5-48FDA57F2DB5}">
      <text>
        <r>
          <rPr>
            <sz val="11"/>
            <color theme="1"/>
            <rFont val="Calibri"/>
            <family val="2"/>
            <scheme val="minor"/>
          </rPr>
          <t>Seleccione un valor de la lista</t>
        </r>
      </text>
    </comment>
    <comment ref="F1081" authorId="1" shapeId="0" xr:uid="{30F4EB20-A381-4F7B-A1B3-A84657903463}">
      <text>
        <r>
          <rPr>
            <sz val="11"/>
            <color theme="1"/>
            <rFont val="Calibri"/>
            <family val="2"/>
            <scheme val="minor"/>
          </rPr>
          <t>Introduzca el código SNIP</t>
        </r>
      </text>
    </comment>
    <comment ref="C1082" authorId="1" shapeId="0" xr:uid="{AC5D6027-3AD0-4D79-957B-775F0C586E2F}">
      <text>
        <r>
          <rPr>
            <sz val="11"/>
            <color theme="1"/>
            <rFont val="Calibri"/>
            <family val="2"/>
            <scheme val="minor"/>
          </rPr>
          <t>Introduzca la fecha de inicio del proceso, en formato dd-mm-aaaa</t>
        </r>
      </text>
    </comment>
    <comment ref="F1082" authorId="1" shapeId="0" xr:uid="{BEDE302E-736C-4754-8283-CE418598EBC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3" authorId="1" shapeId="0" xr:uid="{FB185682-4006-4AD3-A590-F1F872401BCC}">
      <text/>
    </comment>
    <comment ref="C1084" authorId="1" shapeId="0" xr:uid="{8392085F-E36C-41EA-A44B-B634F1E437DC}">
      <text>
        <r>
          <rPr>
            <sz val="11"/>
            <color theme="1"/>
            <rFont val="Calibri"/>
            <family val="2"/>
            <scheme val="minor"/>
          </rPr>
          <t>Introduzca la fecha prevista de adjudicación, en formato dd-mm-aaaa</t>
        </r>
      </text>
    </comment>
    <comment ref="F1084" authorId="1" shapeId="0" xr:uid="{C4A5D213-C4FC-462A-88F8-7A8E1825FFE9}">
      <text/>
    </comment>
    <comment ref="F1085" authorId="1" shapeId="0" xr:uid="{367F46F9-B8F4-4E30-B442-92FD3D85057D}">
      <text/>
    </comment>
    <comment ref="A1087" authorId="1" shapeId="0" xr:uid="{68CE8473-57E4-41C6-BBC3-CEE363A69F4E}">
      <text>
        <r>
          <rPr>
            <sz val="11"/>
            <color theme="1"/>
            <rFont val="Calibri"/>
            <family val="2"/>
            <scheme val="minor"/>
          </rPr>
          <t>Introduzca un codigo UNSPSC</t>
        </r>
      </text>
    </comment>
    <comment ref="B1087" authorId="1" shapeId="0" xr:uid="{960C8B72-C41D-4FCF-A137-0E8D2C92C294}">
      <text>
        <r>
          <rPr>
            <sz val="11"/>
            <color theme="1"/>
            <rFont val="Calibri"/>
            <family val="2"/>
            <scheme val="minor"/>
          </rPr>
          <t>Descripción calculada automáticamente a partir de código del artículo</t>
        </r>
      </text>
    </comment>
    <comment ref="C1087" authorId="1" shapeId="0" xr:uid="{9C348083-33C9-443B-A3B7-7D5678751BD2}">
      <text>
        <r>
          <rPr>
            <sz val="11"/>
            <color theme="1"/>
            <rFont val="Calibri"/>
            <family val="2"/>
            <scheme val="minor"/>
          </rPr>
          <t>Seleccione un valor de la lista</t>
        </r>
      </text>
    </comment>
    <comment ref="D1087" authorId="1" shapeId="0" xr:uid="{18E9260B-29BD-406E-9650-267A86EEDA8D}">
      <text>
        <r>
          <rPr>
            <sz val="11"/>
            <color theme="1"/>
            <rFont val="Calibri"/>
            <family val="2"/>
            <scheme val="minor"/>
          </rPr>
          <t>Introduzca un número con dos decimales como máximo. Debe ser igual o mayor a la "Cantidad Real Consumida"</t>
        </r>
      </text>
    </comment>
    <comment ref="E1087" authorId="1" shapeId="0" xr:uid="{96955526-4ECA-4AC0-9B71-0B8858B2C297}">
      <text>
        <r>
          <rPr>
            <sz val="11"/>
            <color theme="1"/>
            <rFont val="Calibri"/>
            <family val="2"/>
            <scheme val="minor"/>
          </rPr>
          <t>Introduzca un número con dos decimales como máximo</t>
        </r>
      </text>
    </comment>
    <comment ref="F1087" authorId="1" shapeId="0" xr:uid="{AFEE4346-905E-4763-811D-C1BE8F1B61C2}">
      <text>
        <r>
          <rPr>
            <sz val="11"/>
            <color theme="1"/>
            <rFont val="Calibri"/>
            <family val="2"/>
            <scheme val="minor"/>
          </rPr>
          <t>Monto calculado automáticamente por el sistema</t>
        </r>
      </text>
    </comment>
    <comment ref="A1093" authorId="1" shapeId="0" xr:uid="{AA7C0BC1-F18C-46F3-B923-E04F6557B943}">
      <text>
        <r>
          <rPr>
            <sz val="11"/>
            <color theme="1"/>
            <rFont val="Calibri"/>
            <family val="2"/>
            <scheme val="minor"/>
          </rPr>
          <t>Introducir un texto con el nombre o referencia de la contratación</t>
        </r>
      </text>
    </comment>
    <comment ref="B1093" authorId="1" shapeId="0" xr:uid="{4587BCA0-C0A5-4B83-87C5-BDC3377CFFC3}">
      <text>
        <r>
          <rPr>
            <sz val="11"/>
            <color theme="1"/>
            <rFont val="Calibri"/>
            <family val="2"/>
            <scheme val="minor"/>
          </rPr>
          <t>Introduzca un texto con la finalidad de la contratación</t>
        </r>
      </text>
    </comment>
    <comment ref="C1093" authorId="1" shapeId="0" xr:uid="{C6FCE194-4039-4149-AABB-F90A2E142DA8}">
      <text>
        <r>
          <rPr>
            <sz val="11"/>
            <color theme="1"/>
            <rFont val="Calibri"/>
            <family val="2"/>
            <scheme val="minor"/>
          </rPr>
          <t>Seleccionar un valor del listado</t>
        </r>
      </text>
    </comment>
    <comment ref="D1093" authorId="1" shapeId="0" xr:uid="{EEF7132A-3178-4224-9C32-2362C2DED421}">
      <text>
        <r>
          <rPr>
            <sz val="11"/>
            <color theme="1"/>
            <rFont val="Calibri"/>
            <family val="2"/>
            <scheme val="minor"/>
          </rPr>
          <t>Seleccione el tipo de procedimiento</t>
        </r>
      </text>
    </comment>
    <comment ref="E1093" authorId="1" shapeId="0" xr:uid="{880D6774-4B47-4A4A-B6CA-E325641DB1D2}">
      <text>
        <r>
          <rPr>
            <sz val="11"/>
            <color theme="1"/>
            <rFont val="Calibri"/>
            <family val="2"/>
            <scheme val="minor"/>
          </rPr>
          <t>Seleccione un valor de la lista</t>
        </r>
      </text>
    </comment>
    <comment ref="F1093" authorId="1" shapeId="0" xr:uid="{74718F29-67DA-42D5-8AFE-81C9A343B745}">
      <text>
        <r>
          <rPr>
            <sz val="11"/>
            <color theme="1"/>
            <rFont val="Calibri"/>
            <family val="2"/>
            <scheme val="minor"/>
          </rPr>
          <t>Introduzca el código SNIP</t>
        </r>
      </text>
    </comment>
    <comment ref="C1094" authorId="1" shapeId="0" xr:uid="{C1DE22A0-6893-480A-9758-657429CA3FFE}">
      <text>
        <r>
          <rPr>
            <sz val="11"/>
            <color theme="1"/>
            <rFont val="Calibri"/>
            <family val="2"/>
            <scheme val="minor"/>
          </rPr>
          <t>Introduzca la fecha de inicio del proceso, en formato dd-mm-aaaa</t>
        </r>
      </text>
    </comment>
    <comment ref="F1094" authorId="1" shapeId="0" xr:uid="{41CBDC56-01AE-4E9D-AC32-414FF8EA8A1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5" authorId="1" shapeId="0" xr:uid="{82583A01-F44C-44D1-90AB-26288676A75F}">
      <text/>
    </comment>
    <comment ref="C1096" authorId="1" shapeId="0" xr:uid="{4EA0FB3F-4515-47A7-8404-CD35029A59FA}">
      <text>
        <r>
          <rPr>
            <sz val="11"/>
            <color theme="1"/>
            <rFont val="Calibri"/>
            <family val="2"/>
            <scheme val="minor"/>
          </rPr>
          <t>Introduzca la fecha prevista de adjudicación, en formato dd-mm-aaaa</t>
        </r>
      </text>
    </comment>
    <comment ref="F1096" authorId="1" shapeId="0" xr:uid="{54705BA2-D28C-48D0-AFA9-1DBDE48CAC4B}">
      <text/>
    </comment>
    <comment ref="F1097" authorId="1" shapeId="0" xr:uid="{96C7B834-F78A-4432-AB4D-87C138DC03EE}">
      <text/>
    </comment>
    <comment ref="A1099" authorId="1" shapeId="0" xr:uid="{0753BCF5-57A9-48BD-AAD4-0810248BBBC0}">
      <text>
        <r>
          <rPr>
            <sz val="11"/>
            <color theme="1"/>
            <rFont val="Calibri"/>
            <family val="2"/>
            <scheme val="minor"/>
          </rPr>
          <t>Introduzca un codigo UNSPSC</t>
        </r>
      </text>
    </comment>
    <comment ref="B1099" authorId="1" shapeId="0" xr:uid="{44109ABF-4FE1-4879-B40D-5539A365F57F}">
      <text>
        <r>
          <rPr>
            <sz val="11"/>
            <color theme="1"/>
            <rFont val="Calibri"/>
            <family val="2"/>
            <scheme val="minor"/>
          </rPr>
          <t>Descripción calculada automáticamente a partir de código del artículo</t>
        </r>
      </text>
    </comment>
    <comment ref="C1099" authorId="1" shapeId="0" xr:uid="{6D7FAA7A-255D-4D04-9D81-820ABB77A559}">
      <text>
        <r>
          <rPr>
            <sz val="11"/>
            <color theme="1"/>
            <rFont val="Calibri"/>
            <family val="2"/>
            <scheme val="minor"/>
          </rPr>
          <t>Seleccione un valor de la lista</t>
        </r>
      </text>
    </comment>
    <comment ref="D1099" authorId="1" shapeId="0" xr:uid="{759E0FAD-C759-440E-A3D6-E75285EEC868}">
      <text>
        <r>
          <rPr>
            <sz val="11"/>
            <color theme="1"/>
            <rFont val="Calibri"/>
            <family val="2"/>
            <scheme val="minor"/>
          </rPr>
          <t>Introduzca un número con dos decimales como máximo. Debe ser igual o mayor a la "Cantidad Real Consumida"</t>
        </r>
      </text>
    </comment>
    <comment ref="E1099" authorId="1" shapeId="0" xr:uid="{90EAA9AB-2388-4630-B0B2-142CA6669AD0}">
      <text>
        <r>
          <rPr>
            <sz val="11"/>
            <color theme="1"/>
            <rFont val="Calibri"/>
            <family val="2"/>
            <scheme val="minor"/>
          </rPr>
          <t>Introduzca un número con dos decimales como máximo</t>
        </r>
      </text>
    </comment>
    <comment ref="F1099" authorId="1" shapeId="0" xr:uid="{27CBB43F-3B58-4DF5-A017-46F4AF9AD448}">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<sst xmlns="http://schemas.openxmlformats.org/spreadsheetml/2006/main" count="2492" uniqueCount="442">
  <si>
    <t xml:space="preserve">PLAN ANUAL DE COMPRAS Y CONTRATACIONES 
</t>
  </si>
  <si>
    <t>SNCC.F.069</t>
  </si>
  <si>
    <t xml:space="preserve">Capítulo </t>
  </si>
  <si>
    <t>0201</t>
  </si>
  <si>
    <t>Version: 1.0.0</t>
  </si>
  <si>
    <t>Sub Capítulo</t>
  </si>
  <si>
    <t>06</t>
  </si>
  <si>
    <t>Unidad Ejecutora</t>
  </si>
  <si>
    <t>0010</t>
  </si>
  <si>
    <t>Cantidad Procesos Registrados</t>
  </si>
  <si>
    <t xml:space="preserve">Unidad de Compra </t>
  </si>
  <si>
    <t>Unidad Técnica Ejecutora de Titulación de Terrenos del Estado</t>
  </si>
  <si>
    <t>Monto Estimado Total</t>
  </si>
  <si>
    <t>Código de la Unidad de Compra</t>
  </si>
  <si>
    <t>001157</t>
  </si>
  <si>
    <t xml:space="preserve">Año Fiscal </t>
  </si>
  <si>
    <t>2023</t>
  </si>
  <si>
    <t>Fecha Aprobación</t>
  </si>
  <si>
    <t/>
  </si>
  <si>
    <t>NOMBRE O REFERENCIA DE CONTRATACIÓN</t>
  </si>
  <si>
    <t>FINALIDAD DE LA CONTRATACIÓN</t>
  </si>
  <si>
    <t>OBJETO DE CONTRATACIÓN</t>
  </si>
  <si>
    <t>PROCEDIMIENTO DE SELECCIÓN</t>
  </si>
  <si>
    <t>DESTINADO A MIPYMES</t>
  </si>
  <si>
    <t>CÓDIGO SNIP</t>
  </si>
  <si>
    <t>Contratación de Servicios de publicaciones en radios</t>
  </si>
  <si>
    <t>Publicidad y propaganda</t>
  </si>
  <si>
    <t>Servicios</t>
  </si>
  <si>
    <t>Compras Menores</t>
  </si>
  <si>
    <t>No</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</si>
  <si>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</si>
  <si>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</si>
  <si>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</si>
  <si>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</si>
  <si>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</si>
  <si>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</si>
  <si>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</si>
  <si>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</si>
  <si>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</si>
  <si>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</si>
  <si>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</si>
  <si>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</si>
  <si>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</si>
  <si>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</si>
  <si>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</si>
  <si>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</si>
  <si>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</si>
  <si>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82101601</t>
  </si>
  <si>
    <t>TOTAL COMPRA ESTIMADA</t>
  </si>
  <si>
    <t>Contratación de Servicios de publicaciones en periódicos</t>
  </si>
  <si>
    <t>Publicación de avisos oficiales</t>
  </si>
  <si>
    <t>82101905</t>
  </si>
  <si>
    <t>Servicio de impresión</t>
  </si>
  <si>
    <t>Impresión, encuadernación y rotulación</t>
  </si>
  <si>
    <t>Sí</t>
  </si>
  <si>
    <t>82121508</t>
  </si>
  <si>
    <t>44122011</t>
  </si>
  <si>
    <t>55121727</t>
  </si>
  <si>
    <t>Adquisición de Licencias Informáticas</t>
  </si>
  <si>
    <t>Licencias Informáticas</t>
  </si>
  <si>
    <t>Bienes</t>
  </si>
  <si>
    <t>Comparacion de Precios</t>
  </si>
  <si>
    <t>43231512</t>
  </si>
  <si>
    <t>Servicio de Fumigacion</t>
  </si>
  <si>
    <t>Fumigación</t>
  </si>
  <si>
    <t>72102103</t>
  </si>
  <si>
    <t>Contratación de Servicio para gestion de eventos</t>
  </si>
  <si>
    <t>Eventos generales</t>
  </si>
  <si>
    <t>Licitacion Publica</t>
  </si>
  <si>
    <t>80141607</t>
  </si>
  <si>
    <t>Contratación de servicios de auditoria</t>
  </si>
  <si>
    <t>Contratación de servicios de re-certificación del sistema de calidad</t>
  </si>
  <si>
    <t>84111603</t>
  </si>
  <si>
    <t>Contratación de servicios de técnico de agrimensura</t>
  </si>
  <si>
    <t>Otros servicios técnicos profesionales</t>
  </si>
  <si>
    <t>81151604</t>
  </si>
  <si>
    <t>Contratación de Servicios de alimentación</t>
  </si>
  <si>
    <t>Servicios de alimentación</t>
  </si>
  <si>
    <t>90101604</t>
  </si>
  <si>
    <t>Contratación de Servicios de alimentación para eventos diversos</t>
  </si>
  <si>
    <t>Servicios de catering</t>
  </si>
  <si>
    <t>90101603</t>
  </si>
  <si>
    <t>Adquisición de alimentos y bebidas para el personal</t>
  </si>
  <si>
    <t>Alimentos y bebidas para personas</t>
  </si>
  <si>
    <t>50201706</t>
  </si>
  <si>
    <t>50161509</t>
  </si>
  <si>
    <t>50201714</t>
  </si>
  <si>
    <t>50171550</t>
  </si>
  <si>
    <t>50202301</t>
  </si>
  <si>
    <t>50201713</t>
  </si>
  <si>
    <t>50201711</t>
  </si>
  <si>
    <t>12164504</t>
  </si>
  <si>
    <t>Adquisición de plantas</t>
  </si>
  <si>
    <t>Productos forestales</t>
  </si>
  <si>
    <t>Compras por debajo del Umbral</t>
  </si>
  <si>
    <t>10161513</t>
  </si>
  <si>
    <t>Contratación de Mantenimiento y reparación de equipos de tecnología e información</t>
  </si>
  <si>
    <t>Mantenimiento y reparación de equipos de tecnología e información</t>
  </si>
  <si>
    <t>81111812</t>
  </si>
  <si>
    <t>Contratación de Mantenimiento y reparación de equipos de transporte</t>
  </si>
  <si>
    <t>Mantenimiento y reparación de equipos de transporte</t>
  </si>
  <si>
    <t>78180103</t>
  </si>
  <si>
    <t>78180101</t>
  </si>
  <si>
    <t>Contratación de Mantenimiento y reparación de equipos de elevación</t>
  </si>
  <si>
    <t>Mantenimiento y reparación de equipos de elevación</t>
  </si>
  <si>
    <t>72101506</t>
  </si>
  <si>
    <t>76111801</t>
  </si>
  <si>
    <t>Contratación de servicio de instalación de sistema de seguridad</t>
  </si>
  <si>
    <t>Servicios de mantenimiento, reparación, desmonte e instalación</t>
  </si>
  <si>
    <t>46171619</t>
  </si>
  <si>
    <t>Contratación de Servicio de mantenimiento o reparación de generadores fijos y portátiles</t>
  </si>
  <si>
    <t>Servicio de mantenimiento o reparación de generadores fijos y portátiles</t>
  </si>
  <si>
    <t>26111601</t>
  </si>
  <si>
    <t>72101517</t>
  </si>
  <si>
    <t>Servicios de mantenimiento</t>
  </si>
  <si>
    <t xml:space="preserve">Servicios de mantenimiento de oficina en general </t>
  </si>
  <si>
    <t>72101607</t>
  </si>
  <si>
    <t>72102304</t>
  </si>
  <si>
    <t>72101601</t>
  </si>
  <si>
    <t>Adquisición de manteles y accesorios</t>
  </si>
  <si>
    <t>Acabados textiles</t>
  </si>
  <si>
    <t>52121604</t>
  </si>
  <si>
    <t>52121602</t>
  </si>
  <si>
    <t>52121606</t>
  </si>
  <si>
    <t>52121607</t>
  </si>
  <si>
    <t>Adquisición de accesorios textiles</t>
  </si>
  <si>
    <t>53121603</t>
  </si>
  <si>
    <t>Adquisición de Uniformes</t>
  </si>
  <si>
    <t>53102704</t>
  </si>
  <si>
    <t>53102710</t>
  </si>
  <si>
    <t>53103001</t>
  </si>
  <si>
    <t>53101702</t>
  </si>
  <si>
    <t>53101704</t>
  </si>
  <si>
    <t>53101602</t>
  </si>
  <si>
    <t>53101604</t>
  </si>
  <si>
    <t>53101502</t>
  </si>
  <si>
    <t>53102516</t>
  </si>
  <si>
    <t>Adquisición de papeles de escritorio</t>
  </si>
  <si>
    <t>Papel de escritorio</t>
  </si>
  <si>
    <t>14111507</t>
  </si>
  <si>
    <t>14111525</t>
  </si>
  <si>
    <t>44121503</t>
  </si>
  <si>
    <t>44121504</t>
  </si>
  <si>
    <t>44121505</t>
  </si>
  <si>
    <t>44121506</t>
  </si>
  <si>
    <t>55121606</t>
  </si>
  <si>
    <t>Adquisición de papeles y libretas</t>
  </si>
  <si>
    <t>Papel y cartón</t>
  </si>
  <si>
    <t>Papel de escritorio y libretas</t>
  </si>
  <si>
    <t>14111510</t>
  </si>
  <si>
    <t>Adquisición de productos de artes gráficas</t>
  </si>
  <si>
    <t>Productos de artes gráficas</t>
  </si>
  <si>
    <t>14111514</t>
  </si>
  <si>
    <t>Adquisición de Llantas y neumáticos</t>
  </si>
  <si>
    <t>Llantas y neumáticos</t>
  </si>
  <si>
    <t>25172504</t>
  </si>
  <si>
    <t>Adquisición de artículos</t>
  </si>
  <si>
    <t>Plástico</t>
  </si>
  <si>
    <t>13101723</t>
  </si>
  <si>
    <t>24141502</t>
  </si>
  <si>
    <t>Adquisición de Combustibles</t>
  </si>
  <si>
    <t>Adquisición de tickets de Combustibles</t>
  </si>
  <si>
    <t>15101506</t>
  </si>
  <si>
    <t>15101505</t>
  </si>
  <si>
    <t>Adquisición de lubricantes y aceites</t>
  </si>
  <si>
    <t>15121501</t>
  </si>
  <si>
    <t>15121504</t>
  </si>
  <si>
    <t>15121508</t>
  </si>
  <si>
    <t>15121509</t>
  </si>
  <si>
    <t>Adquisición Pinturas</t>
  </si>
  <si>
    <t>Pinturas, lacas, barnices, diluyentes y absorbentes para pinturas</t>
  </si>
  <si>
    <t>31211508</t>
  </si>
  <si>
    <t>31211604</t>
  </si>
  <si>
    <t>31211801</t>
  </si>
  <si>
    <t>Adquisición de Pinturas</t>
  </si>
  <si>
    <t>31211507</t>
  </si>
  <si>
    <t>Adquisición de Productos químicos de uso personal</t>
  </si>
  <si>
    <t>Productos químicos de uso personal y de laboratorios</t>
  </si>
  <si>
    <t>51102710</t>
  </si>
  <si>
    <t>Adquisición de Útiles y materiales de limpieza e higiene</t>
  </si>
  <si>
    <t>Útiles y materiales de limpieza e higiene</t>
  </si>
  <si>
    <t>53131626</t>
  </si>
  <si>
    <t>53131608</t>
  </si>
  <si>
    <t>47131812</t>
  </si>
  <si>
    <t>47131807</t>
  </si>
  <si>
    <t>47131810</t>
  </si>
  <si>
    <t>47131603</t>
  </si>
  <si>
    <t>47131604</t>
  </si>
  <si>
    <t>47131501</t>
  </si>
  <si>
    <t>47131502</t>
  </si>
  <si>
    <t>47131611</t>
  </si>
  <si>
    <t>47131602</t>
  </si>
  <si>
    <t>47131605</t>
  </si>
  <si>
    <t>47131829</t>
  </si>
  <si>
    <t>14111703</t>
  </si>
  <si>
    <t>14111705</t>
  </si>
  <si>
    <t>53131624</t>
  </si>
  <si>
    <t>47131803</t>
  </si>
  <si>
    <t>47131805</t>
  </si>
  <si>
    <t>47121701</t>
  </si>
  <si>
    <t>24111503</t>
  </si>
  <si>
    <t>52151504</t>
  </si>
  <si>
    <t>52151502</t>
  </si>
  <si>
    <t>52151503</t>
  </si>
  <si>
    <t>39111517</t>
  </si>
  <si>
    <t>47131801</t>
  </si>
  <si>
    <t>14111704</t>
  </si>
  <si>
    <t>14111706</t>
  </si>
  <si>
    <t>47131617</t>
  </si>
  <si>
    <t>47131618</t>
  </si>
  <si>
    <t>46181504</t>
  </si>
  <si>
    <t>47131818</t>
  </si>
  <si>
    <t>47131824</t>
  </si>
  <si>
    <t>47131827</t>
  </si>
  <si>
    <t>47131608</t>
  </si>
  <si>
    <t>Adquisiciones de Útiles  y materiales de escritorio, oficina e informática</t>
  </si>
  <si>
    <t>Útiles  y materiales de escritorio, oficina e informática</t>
  </si>
  <si>
    <t>Excepción - Proveedor Único</t>
  </si>
  <si>
    <t>44103103</t>
  </si>
  <si>
    <t>Adquisición de Útiles  y materiales de escritorio, oficina e informática</t>
  </si>
  <si>
    <t>44122003</t>
  </si>
  <si>
    <t>44111611</t>
  </si>
  <si>
    <t>44122002</t>
  </si>
  <si>
    <t>44121615</t>
  </si>
  <si>
    <t>44122107</t>
  </si>
  <si>
    <t>44111515</t>
  </si>
  <si>
    <t>44122104</t>
  </si>
  <si>
    <t>44111503</t>
  </si>
  <si>
    <t>44121701</t>
  </si>
  <si>
    <t>44121706</t>
  </si>
  <si>
    <t>44122018</t>
  </si>
  <si>
    <t>44121714</t>
  </si>
  <si>
    <t>60121535</t>
  </si>
  <si>
    <t>44121905</t>
  </si>
  <si>
    <t>44121904</t>
  </si>
  <si>
    <t>55121804</t>
  </si>
  <si>
    <t>31201516</t>
  </si>
  <si>
    <t>31201517</t>
  </si>
  <si>
    <t>44121635</t>
  </si>
  <si>
    <t>43201809</t>
  </si>
  <si>
    <t>43201811</t>
  </si>
  <si>
    <t>41111604</t>
  </si>
  <si>
    <t>44122012</t>
  </si>
  <si>
    <t>44121618</t>
  </si>
  <si>
    <t>44101801</t>
  </si>
  <si>
    <t>44121613</t>
  </si>
  <si>
    <t>44121802</t>
  </si>
  <si>
    <t>44122105</t>
  </si>
  <si>
    <t>24112404</t>
  </si>
  <si>
    <t>44121708</t>
  </si>
  <si>
    <t>14111530</t>
  </si>
  <si>
    <t>44121716</t>
  </si>
  <si>
    <t>44122010</t>
  </si>
  <si>
    <t>44121619</t>
  </si>
  <si>
    <t>44122017</t>
  </si>
  <si>
    <t>Adquisicion de articulos del hogar</t>
  </si>
  <si>
    <t>52152008</t>
  </si>
  <si>
    <t>52141523</t>
  </si>
  <si>
    <t>52152104</t>
  </si>
  <si>
    <t>48101801</t>
  </si>
  <si>
    <t>52151704</t>
  </si>
  <si>
    <t>52151702</t>
  </si>
  <si>
    <t>48101915</t>
  </si>
  <si>
    <t>52141511</t>
  </si>
  <si>
    <t>48101803</t>
  </si>
  <si>
    <t>52151708</t>
  </si>
  <si>
    <t>52152202</t>
  </si>
  <si>
    <t>52151616</t>
  </si>
  <si>
    <t>24112601</t>
  </si>
  <si>
    <t>52152004</t>
  </si>
  <si>
    <t>52152005</t>
  </si>
  <si>
    <t>52152013</t>
  </si>
  <si>
    <t>52152009</t>
  </si>
  <si>
    <t>52151606</t>
  </si>
  <si>
    <t>52152101</t>
  </si>
  <si>
    <t>48101909</t>
  </si>
  <si>
    <t>52152102</t>
  </si>
  <si>
    <t>Adquisición de Productos eléctricos</t>
  </si>
  <si>
    <t>Productos eléctricos y afines</t>
  </si>
  <si>
    <t>39121407</t>
  </si>
  <si>
    <t>39121402</t>
  </si>
  <si>
    <t>39121525</t>
  </si>
  <si>
    <t>39121721</t>
  </si>
  <si>
    <t>39121601</t>
  </si>
  <si>
    <t>39121009</t>
  </si>
  <si>
    <t>41113601</t>
  </si>
  <si>
    <t>40101502</t>
  </si>
  <si>
    <t>39101601</t>
  </si>
  <si>
    <t>39111812</t>
  </si>
  <si>
    <t>40101503</t>
  </si>
  <si>
    <t>26111704</t>
  </si>
  <si>
    <t>Adquisición de Artículos de Ferretería</t>
  </si>
  <si>
    <t>27111601</t>
  </si>
  <si>
    <t>31161807</t>
  </si>
  <si>
    <t>31161503</t>
  </si>
  <si>
    <t>27111707</t>
  </si>
  <si>
    <t>27111706</t>
  </si>
  <si>
    <t>27111710</t>
  </si>
  <si>
    <t>27112103</t>
  </si>
  <si>
    <t>27112114</t>
  </si>
  <si>
    <t>27112108</t>
  </si>
  <si>
    <t>27111701</t>
  </si>
  <si>
    <t>31211906</t>
  </si>
  <si>
    <t>27111801</t>
  </si>
  <si>
    <t>31201526</t>
  </si>
  <si>
    <t>31201502</t>
  </si>
  <si>
    <t>27111602</t>
  </si>
  <si>
    <t>31162402</t>
  </si>
  <si>
    <t>31162403</t>
  </si>
  <si>
    <t>39121310</t>
  </si>
  <si>
    <t>40142604</t>
  </si>
  <si>
    <t>23101502</t>
  </si>
  <si>
    <t>40141617</t>
  </si>
  <si>
    <t>46181525</t>
  </si>
  <si>
    <t>31211909</t>
  </si>
  <si>
    <t>31211904</t>
  </si>
  <si>
    <t>31201505</t>
  </si>
  <si>
    <t>31201513</t>
  </si>
  <si>
    <t>31201519</t>
  </si>
  <si>
    <t>31201617</t>
  </si>
  <si>
    <t>46171508</t>
  </si>
  <si>
    <t>31162414</t>
  </si>
  <si>
    <t>40141702</t>
  </si>
  <si>
    <t>30171501</t>
  </si>
  <si>
    <t>30171505</t>
  </si>
  <si>
    <t>30161509</t>
  </si>
  <si>
    <t>30161602</t>
  </si>
  <si>
    <t>30181512</t>
  </si>
  <si>
    <t>27111708</t>
  </si>
  <si>
    <t>23151820</t>
  </si>
  <si>
    <t>30191501</t>
  </si>
  <si>
    <t>30102403</t>
  </si>
  <si>
    <t>Adquisición de herramientas para vehículos</t>
  </si>
  <si>
    <t>Máquinas-herramientas para vehículos</t>
  </si>
  <si>
    <t>24101612</t>
  </si>
  <si>
    <t>25174004</t>
  </si>
  <si>
    <t>30171508</t>
  </si>
  <si>
    <t>25191703</t>
  </si>
  <si>
    <t>23153411</t>
  </si>
  <si>
    <t>41114613</t>
  </si>
  <si>
    <t>27111702</t>
  </si>
  <si>
    <t>27111726</t>
  </si>
  <si>
    <t>27112107</t>
  </si>
  <si>
    <t>27112122</t>
  </si>
  <si>
    <t>27112809</t>
  </si>
  <si>
    <t>Adquisición de Productos y útiles de defensa y seguridad</t>
  </si>
  <si>
    <t>Productos y útiles de defensa y seguridad</t>
  </si>
  <si>
    <t>55121704</t>
  </si>
  <si>
    <t>46181507</t>
  </si>
  <si>
    <t>46181705</t>
  </si>
  <si>
    <t>46181804</t>
  </si>
  <si>
    <t>46191501</t>
  </si>
  <si>
    <t>46171501</t>
  </si>
  <si>
    <t>46181604</t>
  </si>
  <si>
    <t>Adquisición de Muebles, equipos de oficina y estantería</t>
  </si>
  <si>
    <t>Muebles, equipos de oficina y estantería</t>
  </si>
  <si>
    <t>44102801</t>
  </si>
  <si>
    <t>24102004</t>
  </si>
  <si>
    <t>56101502</t>
  </si>
  <si>
    <t>56101505</t>
  </si>
  <si>
    <t>30161801</t>
  </si>
  <si>
    <t>56101538</t>
  </si>
  <si>
    <t>56101519</t>
  </si>
  <si>
    <t>56101602</t>
  </si>
  <si>
    <t>44111510</t>
  </si>
  <si>
    <t>56101603</t>
  </si>
  <si>
    <t>56101606</t>
  </si>
  <si>
    <t>56101701</t>
  </si>
  <si>
    <t>56101702</t>
  </si>
  <si>
    <t>46171506</t>
  </si>
  <si>
    <t>56101714</t>
  </si>
  <si>
    <t>24112405</t>
  </si>
  <si>
    <t>56111503</t>
  </si>
  <si>
    <t>48102001</t>
  </si>
  <si>
    <t>56111511</t>
  </si>
  <si>
    <t>56111509</t>
  </si>
  <si>
    <t>56111507</t>
  </si>
  <si>
    <t>56112103</t>
  </si>
  <si>
    <t>56112102</t>
  </si>
  <si>
    <t>44101603</t>
  </si>
  <si>
    <t>56112104</t>
  </si>
  <si>
    <t>56112105</t>
  </si>
  <si>
    <t>44111511</t>
  </si>
  <si>
    <t>Adquisición de Electrodomésticos</t>
  </si>
  <si>
    <t>Electrodomésticos</t>
  </si>
  <si>
    <t>52141525</t>
  </si>
  <si>
    <t>48101516</t>
  </si>
  <si>
    <t>52141501</t>
  </si>
  <si>
    <t>48101525</t>
  </si>
  <si>
    <t>48101711</t>
  </si>
  <si>
    <t>52141524</t>
  </si>
  <si>
    <t>52141510</t>
  </si>
  <si>
    <t>52161505</t>
  </si>
  <si>
    <t>Adquisición de Equipos de tecnología de la información y comunicación</t>
  </si>
  <si>
    <t>Equipos de tecnología de la información y comunicación</t>
  </si>
  <si>
    <t>43222501</t>
  </si>
  <si>
    <t>43202105</t>
  </si>
  <si>
    <t>43211601</t>
  </si>
  <si>
    <t>43211507</t>
  </si>
  <si>
    <t>43211508</t>
  </si>
  <si>
    <t>43211509</t>
  </si>
  <si>
    <t>43211603</t>
  </si>
  <si>
    <t>43212108</t>
  </si>
  <si>
    <t>43212110</t>
  </si>
  <si>
    <t>43211708</t>
  </si>
  <si>
    <t>43201803</t>
  </si>
  <si>
    <t>43202005</t>
  </si>
  <si>
    <t>43211606</t>
  </si>
  <si>
    <t>Adquiisción de Equipo de generación eléctrica</t>
  </si>
  <si>
    <t>Equipo de generación eléctrica y a fines</t>
  </si>
  <si>
    <t>60104907</t>
  </si>
  <si>
    <t>Adquisición de softwares</t>
  </si>
  <si>
    <t>Adquisición de software informáticos</t>
  </si>
  <si>
    <t>43231513</t>
  </si>
  <si>
    <t>43231507</t>
  </si>
  <si>
    <t>43232102</t>
  </si>
  <si>
    <t>43232103</t>
  </si>
  <si>
    <t>43233402</t>
  </si>
  <si>
    <t>43233204</t>
  </si>
  <si>
    <t>43232604</t>
  </si>
  <si>
    <t>Adquisición de sistemas Administrativo y Financiero</t>
  </si>
  <si>
    <t>Programas de Informática</t>
  </si>
  <si>
    <t>43231601</t>
  </si>
  <si>
    <t>Adquisición de equipos topográficos</t>
  </si>
  <si>
    <t>Equipos e instrumentos de medición científica</t>
  </si>
  <si>
    <t>Excepción - Bienes o servicios con exclusividad</t>
  </si>
  <si>
    <t>23153031</t>
  </si>
  <si>
    <t>52161518</t>
  </si>
  <si>
    <t>Contratación de servicio de agua en botellones para la institucion</t>
  </si>
  <si>
    <t>24122002</t>
  </si>
  <si>
    <t>Aquisición de vehículos de motor</t>
  </si>
  <si>
    <t xml:space="preserve">Aquisición de vehículos de motor </t>
  </si>
  <si>
    <t>25101507</t>
  </si>
  <si>
    <t>25101501</t>
  </si>
  <si>
    <t>25101801</t>
  </si>
  <si>
    <t>Adquisición Equipos y Aparatos Audiovisuales</t>
  </si>
  <si>
    <t>Equipos y Aparatos Audiovisuales</t>
  </si>
  <si>
    <t>45111609</t>
  </si>
  <si>
    <t>45111603</t>
  </si>
  <si>
    <t>Contratación de mantenimiento o reparación de aires acondicionados</t>
  </si>
  <si>
    <t>Servicio de mantenimiento o reparación de aires acondicionados</t>
  </si>
  <si>
    <t>72102302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</si>
</sst>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RD$-1C0A]* #,##0.00_-;\-[$RD$-1C0A]* #,##0.00_-;_-[$RD$-1C0A]* &quot;-&quot;??_-;_-@_-"/>
    <numFmt numFmtId="165" formatCode="dd/mm/yyyy"/>
    <numFmt numFmtId="166" formatCode="dd\-mm\-yyyy"/>
    <numFmt numFmtId="167" formatCode="_-[$RD$-1C0A]* #,##0.00_ ;_-[$RD$-1C0A]* \-#,##0.00\ ;_-[$RD$-1C0A]* &quot; - &quot;??_ ;_-@_ "/>
  </numFmts>
  <fonts count="12" x14ac:knownFonts="1">
    <font>
      <sz val="11"/>
      <color theme="1"/>
      <name val="Calibri"/>
      <family val="2"/>
      <scheme val="minor"/>
    </font>
    <font>
      <sz val="14"/>
      <color theme="1"/>
      <name val="Arial Narrow"/>
    </font>
    <font>
      <b/>
      <sz val="12"/>
      <color theme="1"/>
      <name val="Arial Narrow"/>
    </font>
    <font>
      <b/>
      <sz val="16"/>
      <color theme="1"/>
      <name val="Arial Narrow"/>
    </font>
    <font>
      <b/>
      <sz val="9"/>
      <color rgb="FF002060"/>
      <name val="Arial Narrow"/>
    </font>
    <font>
      <sz val="9"/>
      <color theme="1"/>
      <name val="Arial Narrow"/>
    </font>
    <font>
      <b/>
      <sz val="9"/>
      <color theme="1"/>
      <name val="Arial Narrow"/>
    </font>
    <font>
      <b/>
      <sz val="9"/>
      <color theme="1"/>
      <name val="Calibri"/>
      <scheme val="minor"/>
    </font>
    <font>
      <sz val="11"/>
      <color theme="1"/>
      <name val="Arial Narrow"/>
    </font>
    <font>
      <b/>
      <sz val="8"/>
      <color theme="1"/>
      <name val="Calibri"/>
      <scheme val="minor"/>
    </font>
    <font>
      <sz val="8"/>
      <color theme="1"/>
      <name val="Calibri"/>
      <scheme val="minor"/>
    </font>
    <font>
      <b/>
      <sz val="9"/>
      <name val="Tahoma"/>
      <family val="2"/>
    </font>
  </fonts>
  <fills count="9">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4">
    <xf numFmtId="0" fontId="0" fillId="0" borderId="0"/>
    <xf numFmtId="0" fontId="9" fillId="5" borderId="6">
      <alignment horizontal="center" vertical="center" wrapText="1"/>
    </xf>
    <xf numFmtId="0" fontId="9" fillId="0" borderId="6">
      <alignment horizontal="center" vertical="center"/>
    </xf>
    <xf numFmtId="0" fontId="9" fillId="5" borderId="6">
      <alignment horizontal="center" vertical="center" textRotation="90" wrapText="1"/>
    </xf>
    <xf numFmtId="0" fontId="9" fillId="6" borderId="6">
      <alignment horizontal="center" vertical="center"/>
    </xf>
    <xf numFmtId="166" fontId="9" fillId="0" borderId="6">
      <alignment horizontal="center" vertical="center"/>
    </xf>
    <xf numFmtId="0" fontId="9" fillId="6" borderId="6">
      <alignment horizontal="center" vertical="center"/>
    </xf>
    <xf numFmtId="0" fontId="9" fillId="0" borderId="6">
      <alignment horizontal="left" vertical="center"/>
    </xf>
    <xf numFmtId="0" fontId="9" fillId="0" borderId="6">
      <alignment horizontal="center" vertical="center"/>
    </xf>
    <xf numFmtId="0" fontId="9" fillId="7" borderId="6">
      <alignment horizontal="center" vertical="center"/>
    </xf>
    <xf numFmtId="0" fontId="10" fillId="8" borderId="8">
      <alignment horizontal="center" vertical="center"/>
    </xf>
    <xf numFmtId="0" fontId="10" fillId="8" borderId="8">
      <alignment horizontal="center" vertical="center" wrapText="1"/>
    </xf>
    <xf numFmtId="0" fontId="10" fillId="8" borderId="8">
      <alignment horizontal="left" vertical="center"/>
    </xf>
    <xf numFmtId="167" fontId="10" fillId="8" borderId="8">
      <alignment horizontal="center" vertical="center"/>
    </xf>
  </cellStyleXfs>
  <cellXfs count="47">
    <xf numFmtId="0" fontId="0" fillId="0" borderId="0" xfId="0"/>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pplyProtection="1">
      <alignment vertical="center"/>
      <protection hidden="1"/>
    </xf>
    <xf numFmtId="0" fontId="2" fillId="2" borderId="0" xfId="0" applyFont="1" applyFill="1" applyAlignment="1">
      <alignment vertical="top" wrapText="1"/>
    </xf>
    <xf numFmtId="0" fontId="2" fillId="2" borderId="0" xfId="0" applyFont="1" applyFill="1" applyAlignment="1">
      <alignment vertical="center" wrapText="1"/>
    </xf>
    <xf numFmtId="0" fontId="1" fillId="2" borderId="0" xfId="0" applyFont="1" applyFill="1" applyAlignment="1">
      <alignment vertical="center"/>
    </xf>
    <xf numFmtId="0" fontId="3" fillId="2" borderId="2" xfId="0" applyFont="1" applyFill="1" applyBorder="1" applyAlignment="1">
      <alignment vertical="center"/>
    </xf>
    <xf numFmtId="0" fontId="3"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pplyProtection="1">
      <alignment vertical="center"/>
      <protection hidden="1"/>
    </xf>
    <xf numFmtId="0" fontId="5" fillId="2" borderId="3" xfId="0" applyFont="1" applyFill="1" applyBorder="1" applyAlignment="1" applyProtection="1">
      <alignment vertical="center"/>
      <protection hidden="1"/>
    </xf>
    <xf numFmtId="38" fontId="6" fillId="3" borderId="4" xfId="0" applyNumberFormat="1" applyFont="1" applyFill="1" applyBorder="1" applyAlignment="1">
      <alignment vertical="center" wrapText="1"/>
    </xf>
    <xf numFmtId="0" fontId="4" fillId="2" borderId="0" xfId="0" applyFont="1" applyFill="1" applyAlignment="1">
      <alignment vertical="center"/>
    </xf>
    <xf numFmtId="0" fontId="6" fillId="4" borderId="4" xfId="0" applyFont="1" applyFill="1" applyBorder="1" applyAlignment="1">
      <alignment horizontal="left" vertical="center"/>
    </xf>
    <xf numFmtId="0" fontId="7" fillId="0" borderId="6" xfId="0" applyFont="1" applyBorder="1" applyAlignment="1">
      <alignment vertical="center"/>
    </xf>
    <xf numFmtId="0" fontId="6" fillId="4" borderId="7" xfId="0" applyFont="1" applyFill="1" applyBorder="1" applyAlignment="1">
      <alignment horizontal="left" vertical="center"/>
    </xf>
    <xf numFmtId="164" fontId="7" fillId="0" borderId="6" xfId="0" applyNumberFormat="1" applyFont="1" applyBorder="1" applyAlignment="1">
      <alignment vertical="center"/>
    </xf>
    <xf numFmtId="0" fontId="5" fillId="2" borderId="2" xfId="0" applyFont="1" applyFill="1" applyBorder="1" applyAlignment="1" applyProtection="1">
      <alignment vertical="center"/>
      <protection hidden="1"/>
    </xf>
    <xf numFmtId="0" fontId="8" fillId="0" borderId="0" xfId="0" applyFont="1" applyAlignment="1">
      <alignment vertical="center"/>
    </xf>
    <xf numFmtId="0" fontId="9" fillId="5" borderId="6" xfId="1">
      <alignment horizontal="center" vertical="center" wrapText="1"/>
    </xf>
    <xf numFmtId="0" fontId="9" fillId="0" borderId="6" xfId="2" applyProtection="1">
      <alignment horizontal="center" vertical="center"/>
      <protection locked="0"/>
    </xf>
    <xf numFmtId="0" fontId="9" fillId="6" borderId="6" xfId="4">
      <alignment horizontal="center" vertical="center"/>
    </xf>
    <xf numFmtId="166" fontId="9" fillId="0" borderId="6" xfId="5" applyProtection="1">
      <alignment horizontal="center" vertical="center"/>
      <protection locked="0"/>
    </xf>
    <xf numFmtId="0" fontId="9" fillId="6" borderId="6" xfId="6">
      <alignment horizontal="center" vertical="center"/>
    </xf>
    <xf numFmtId="0" fontId="9" fillId="0" borderId="6" xfId="7" applyProtection="1">
      <alignment horizontal="left" vertical="center"/>
      <protection locked="0"/>
    </xf>
    <xf numFmtId="0" fontId="9" fillId="0" borderId="6" xfId="8">
      <alignment horizontal="center" vertical="center"/>
    </xf>
    <xf numFmtId="0" fontId="9" fillId="7" borderId="6" xfId="9">
      <alignment horizontal="center" vertical="center"/>
    </xf>
    <xf numFmtId="0" fontId="10" fillId="8" borderId="8" xfId="10" applyProtection="1">
      <alignment horizontal="center" vertical="center"/>
      <protection locked="0"/>
    </xf>
    <xf numFmtId="0" fontId="10" fillId="8" borderId="8" xfId="11">
      <alignment horizontal="center" vertical="center" wrapText="1"/>
    </xf>
    <xf numFmtId="0" fontId="10" fillId="8" borderId="8" xfId="12" applyProtection="1">
      <alignment horizontal="left" vertical="center"/>
      <protection locked="0"/>
    </xf>
    <xf numFmtId="167" fontId="10" fillId="8" borderId="8" xfId="13" applyProtection="1">
      <alignment horizontal="center" vertical="center"/>
      <protection locked="0"/>
    </xf>
    <xf numFmtId="167" fontId="10" fillId="8" borderId="8" xfId="13">
      <alignment horizontal="center" vertical="center"/>
    </xf>
    <xf numFmtId="0" fontId="9" fillId="7" borderId="8" xfId="9" applyBorder="1">
      <alignment horizontal="center" vertical="center"/>
    </xf>
    <xf numFmtId="167" fontId="10" fillId="7" borderId="8" xfId="13" applyFill="1">
      <alignment horizontal="center" vertical="center"/>
    </xf>
    <xf numFmtId="0" fontId="9" fillId="0" borderId="6" xfId="2" applyAlignment="1" applyProtection="1">
      <alignment horizontal="center" vertical="center" wrapText="1"/>
      <protection locked="0"/>
    </xf>
    <xf numFmtId="0" fontId="1" fillId="0" borderId="0" xfId="0" applyFont="1" applyAlignment="1" applyProtection="1">
      <alignment horizontal="center" vertical="center"/>
      <protection hidden="1"/>
    </xf>
    <xf numFmtId="0" fontId="2" fillId="3" borderId="0" xfId="0" applyFont="1" applyFill="1" applyAlignment="1">
      <alignment horizontal="center" vertical="top" wrapText="1"/>
    </xf>
    <xf numFmtId="0" fontId="2" fillId="3" borderId="0" xfId="0" applyFont="1" applyFill="1" applyAlignment="1">
      <alignment horizontal="center"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9" fillId="5" borderId="6" xfId="3">
      <alignment horizontal="center" vertical="center" textRotation="90" wrapText="1"/>
    </xf>
    <xf numFmtId="0" fontId="9" fillId="0" borderId="6" xfId="2">
      <alignment horizontal="center" vertical="center"/>
    </xf>
    <xf numFmtId="1" fontId="7" fillId="0" borderId="4" xfId="0" applyNumberFormat="1" applyFont="1" applyBorder="1" applyAlignment="1" applyProtection="1">
      <alignment horizontal="center" vertical="center" wrapText="1"/>
      <protection locked="0"/>
    </xf>
    <xf numFmtId="1" fontId="7" fillId="0" borderId="5" xfId="0" applyNumberFormat="1" applyFont="1" applyBorder="1" applyAlignment="1" applyProtection="1">
      <alignment horizontal="center" vertical="center" wrapText="1"/>
      <protection locked="0"/>
    </xf>
    <xf numFmtId="165" fontId="7" fillId="0" borderId="4" xfId="0" applyNumberFormat="1"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vertical="center" wrapText="1"/>
      <protection locked="0"/>
    </xf>
  </cellXfs>
  <cellStyles count="14">
    <cellStyle name="ArticleBody" xfId="10" xr:uid="{3198A5A5-FEC1-4C69-B248-CFD5342C3C0B}"/>
    <cellStyle name="ArticleBody_currency" xfId="13" xr:uid="{6F39CDE0-E08E-472C-B950-BBE6EFADD85F}"/>
    <cellStyle name="ArticleBody_text" xfId="12" xr:uid="{C40FDDD6-3CDB-4EDA-B94D-A69A907EC91E}"/>
    <cellStyle name="ArticleBody_UNSCPCDescription" xfId="11" xr:uid="{E39CD1A8-DB2D-47A0-A3DC-C6E29A447E05}"/>
    <cellStyle name="ArticleHeader" xfId="9" xr:uid="{110E2B70-B335-4824-87FC-F282A4C88910}"/>
    <cellStyle name="Normal" xfId="0" builtinId="0"/>
    <cellStyle name="ProcessBody" xfId="2" xr:uid="{EBBEDACB-483F-403C-BA50-D136641E2128}"/>
    <cellStyle name="ProcessBody_address" xfId="7" xr:uid="{BB8A21B8-231B-48B7-B35A-87DF7F75A78D}"/>
    <cellStyle name="ProcessBody_datetime" xfId="5" xr:uid="{404891A7-F3A5-4AB4-B5FB-CA3C5D648692}"/>
    <cellStyle name="ProcessBody_number" xfId="8" xr:uid="{9538748F-9DA2-4BD8-85D0-16F1DF10C4BA}"/>
    <cellStyle name="ProcessHeader" xfId="1" xr:uid="{8E8C8157-6A71-4584-8199-464B7D0674E7}"/>
    <cellStyle name="ProcessHeader_vertical" xfId="3" xr:uid="{E58AC5AF-22A9-42ED-829C-4515B0E5BF01}"/>
    <cellStyle name="ProcessSubHeader" xfId="4" xr:uid="{D5FB88E2-12DE-4E6A-84A6-F04A126CEF9D}"/>
    <cellStyle name="ProcessSubHeader_lugar" xfId="6" xr:uid="{F8719969-AC6C-42B4-8335-60A144E30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93345</xdr:rowOff>
    </xdr:from>
    <xdr:to>
      <xdr:col>1</xdr:col>
      <xdr:colOff>190500</xdr:colOff>
      <xdr:row>4</xdr:row>
      <xdr:rowOff>81915</xdr:rowOff>
    </xdr:to>
    <xdr:pic>
      <xdr:nvPicPr>
        <xdr:cNvPr id="2" name="Picture 4">
          <a:extLst>
            <a:ext uri="{FF2B5EF4-FFF2-40B4-BE49-F238E27FC236}">
              <a16:creationId xmlns:a16="http://schemas.microsoft.com/office/drawing/2014/main" id="{5BBEF6D2-AC6B-4D7F-BEA9-A51026E3ABA6}"/>
            </a:ext>
          </a:extLst>
        </xdr:cNvPr>
        <xdr:cNvPicPr>
          <a:picLocks noChangeAspect="1"/>
        </xdr:cNvPicPr>
      </xdr:nvPicPr>
      <xdr:blipFill>
        <a:blip xmlns:r="http://schemas.openxmlformats.org/officeDocument/2006/relationships" r:embed="rId1"/>
        <a:stretch>
          <a:fillRect/>
        </a:stretch>
      </xdr:blipFill>
      <xdr:spPr bwMode="auto">
        <a:xfrm>
          <a:off x="137160" y="93345"/>
          <a:ext cx="2461260" cy="84963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716280</xdr:colOff>
      <xdr:row>0</xdr:row>
      <xdr:rowOff>0</xdr:rowOff>
    </xdr:from>
    <xdr:to>
      <xdr:col>5</xdr:col>
      <xdr:colOff>865689</xdr:colOff>
      <xdr:row>5</xdr:row>
      <xdr:rowOff>15240</xdr:rowOff>
    </xdr:to>
    <xdr:pic>
      <xdr:nvPicPr>
        <xdr:cNvPr id="3" name="Picture 5">
          <a:extLst>
            <a:ext uri="{FF2B5EF4-FFF2-40B4-BE49-F238E27FC236}">
              <a16:creationId xmlns:a16="http://schemas.microsoft.com/office/drawing/2014/main" id="{207A7FBB-BC72-47D1-A4B4-BEC93B589370}"/>
            </a:ext>
          </a:extLst>
        </xdr:cNvPr>
        <xdr:cNvPicPr>
          <a:picLocks noChangeAspect="1"/>
        </xdr:cNvPicPr>
      </xdr:nvPicPr>
      <xdr:blipFill>
        <a:blip xmlns:r="http://schemas.openxmlformats.org/officeDocument/2006/relationships" r:embed="rId2"/>
        <a:stretch>
          <a:fillRect/>
        </a:stretch>
      </xdr:blipFill>
      <xdr:spPr>
        <a:xfrm>
          <a:off x="6126480" y="0"/>
          <a:ext cx="1444809" cy="1143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avier%20Florian.LAPTOP-1GG1JOUM\Desktop\ENERO%202023\PACC\PACC_2023_UTECT%201.xlsm" TargetMode="External"/><Relationship Id="rId1" Type="http://schemas.openxmlformats.org/officeDocument/2006/relationships/externalLinkPath" Target="/Users/Javier%20Florian.LAPTOP-1GG1JOUM/Desktop/ENERO%202023/PACC/PACC_2023_UTECT%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EN"/>
      <sheetName val="PACC"/>
      <sheetName val="Informacion "/>
      <sheetName val="UNSPSC"/>
      <sheetName val="ProcedureTemplate"/>
    </sheetNames>
    <sheetDataSet>
      <sheetData sheetId="0" refreshError="1"/>
      <sheetData sheetId="1" refreshError="1"/>
      <sheetData sheetId="2">
        <row r="2">
          <cell r="P2" t="str">
            <v>Un</v>
          </cell>
          <cell r="Q2" t="str">
            <v>Desc.</v>
          </cell>
        </row>
        <row r="3">
          <cell r="A3" t="str">
            <v>CIBAO NORTE</v>
          </cell>
          <cell r="B3" t="str">
            <v>CIBAO NORTE</v>
          </cell>
          <cell r="C3" t="str">
            <v>Santiago</v>
          </cell>
          <cell r="E3" t="str">
            <v>Santiago</v>
          </cell>
          <cell r="F3" t="str">
            <v>Santiago de los Caballeros</v>
          </cell>
          <cell r="I3" t="str">
            <v>Arenoso</v>
          </cell>
          <cell r="J3" t="str">
            <v>Arenoso</v>
          </cell>
          <cell r="P3" t="str">
            <v>CAJ</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P4" t="str">
            <v>CM</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P5" t="str">
            <v>CM2</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P6" t="str">
            <v>CT</v>
          </cell>
          <cell r="Q6" t="str">
            <v>Ciento</v>
          </cell>
        </row>
        <row r="7">
          <cell r="A7" t="str">
            <v>VALDESIA</v>
          </cell>
          <cell r="B7" t="str">
            <v>CIBAO SUR</v>
          </cell>
          <cell r="C7" t="str">
            <v>Monseñor Nouel</v>
          </cell>
          <cell r="E7" t="str">
            <v>Santiago</v>
          </cell>
          <cell r="F7" t="str">
            <v>Licey al Medio</v>
          </cell>
          <cell r="I7" t="str">
            <v>Hostos</v>
          </cell>
          <cell r="J7" t="str">
            <v>Hostos</v>
          </cell>
          <cell r="P7" t="str">
            <v>DEC</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P8" t="str">
            <v>DM</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P9" t="str">
            <v>DÍA</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P10" t="str">
            <v>DOC</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P11" t="str">
            <v>GAL</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P12" t="str">
            <v>G</v>
          </cell>
          <cell r="Q12" t="str">
            <v>Gramo</v>
          </cell>
        </row>
        <row r="13">
          <cell r="B13" t="str">
            <v>CIBAO NOROESTE</v>
          </cell>
          <cell r="C13" t="str">
            <v>Valverde</v>
          </cell>
          <cell r="E13" t="str">
            <v>Puerto Plata</v>
          </cell>
          <cell r="F13" t="str">
            <v>Altamira</v>
          </cell>
          <cell r="I13" t="str">
            <v>San Fco. de Macorís</v>
          </cell>
          <cell r="J13" t="str">
            <v>Jaya</v>
          </cell>
          <cell r="P13" t="str">
            <v>H</v>
          </cell>
          <cell r="Q13" t="str">
            <v>Hora</v>
          </cell>
        </row>
        <row r="14">
          <cell r="B14" t="str">
            <v>CIBAO NOROESTE</v>
          </cell>
          <cell r="C14" t="str">
            <v>Santiago Rodriguez</v>
          </cell>
          <cell r="E14" t="str">
            <v>Puerto Plata</v>
          </cell>
          <cell r="F14" t="str">
            <v>Guananico</v>
          </cell>
          <cell r="I14" t="str">
            <v>San Fco. de Macorís</v>
          </cell>
          <cell r="J14" t="str">
            <v>La Peña</v>
          </cell>
          <cell r="P14" t="str">
            <v>H/H</v>
          </cell>
          <cell r="Q14" t="str">
            <v>Hora Hombre</v>
          </cell>
        </row>
        <row r="15">
          <cell r="B15" t="str">
            <v>CIBAO NOROESTE</v>
          </cell>
          <cell r="C15" t="str">
            <v>Montecristi</v>
          </cell>
          <cell r="E15" t="str">
            <v>Puerto Plata</v>
          </cell>
          <cell r="F15" t="str">
            <v>Imbert</v>
          </cell>
          <cell r="I15" t="str">
            <v>San Fco. de Macorís</v>
          </cell>
          <cell r="J15" t="str">
            <v>San Fco. de Macorís</v>
          </cell>
          <cell r="P15" t="str">
            <v>KG</v>
          </cell>
          <cell r="Q15" t="str">
            <v>Kilogramo</v>
          </cell>
        </row>
        <row r="16">
          <cell r="B16" t="str">
            <v>CIBAO NOROESTE</v>
          </cell>
          <cell r="C16" t="str">
            <v>Dajabón</v>
          </cell>
          <cell r="E16" t="str">
            <v>Puerto Plata</v>
          </cell>
          <cell r="F16" t="str">
            <v>Los Hidalgos</v>
          </cell>
          <cell r="I16" t="str">
            <v>Villa Riva</v>
          </cell>
          <cell r="J16" t="str">
            <v>Agua Santa del Yuna</v>
          </cell>
          <cell r="P16" t="str">
            <v>KM</v>
          </cell>
          <cell r="Q16" t="str">
            <v>Kilómetro</v>
          </cell>
        </row>
        <row r="17">
          <cell r="B17" t="str">
            <v>VALDESIA</v>
          </cell>
          <cell r="C17" t="str">
            <v>San Cristóbal</v>
          </cell>
          <cell r="E17" t="str">
            <v>Puerto Plata</v>
          </cell>
          <cell r="F17" t="str">
            <v>Luperón</v>
          </cell>
          <cell r="I17" t="str">
            <v>Villa Riva</v>
          </cell>
          <cell r="J17" t="str">
            <v>Barraquito</v>
          </cell>
          <cell r="P17" t="str">
            <v>KM2</v>
          </cell>
          <cell r="Q17" t="str">
            <v>Kilómetro cuadrado</v>
          </cell>
        </row>
        <row r="18">
          <cell r="B18" t="str">
            <v>VALDESIA</v>
          </cell>
          <cell r="C18" t="str">
            <v>Peravia</v>
          </cell>
          <cell r="E18" t="str">
            <v>Puerto Plata</v>
          </cell>
          <cell r="F18" t="str">
            <v>Sosúa</v>
          </cell>
          <cell r="I18" t="str">
            <v>Villa Riva</v>
          </cell>
          <cell r="J18" t="str">
            <v>Cristo Rey de Guaraguao</v>
          </cell>
          <cell r="P18" t="str">
            <v>LB</v>
          </cell>
          <cell r="Q18" t="str">
            <v>Libra </v>
          </cell>
        </row>
        <row r="19">
          <cell r="B19" t="str">
            <v>VALDESIA</v>
          </cell>
          <cell r="C19" t="str">
            <v>San José de Ocoa</v>
          </cell>
          <cell r="E19" t="str">
            <v>Puerto Plata</v>
          </cell>
          <cell r="F19" t="str">
            <v>Villa Isabela</v>
          </cell>
          <cell r="I19" t="str">
            <v>Villa Riva</v>
          </cell>
          <cell r="J19" t="str">
            <v>Las Táranas</v>
          </cell>
          <cell r="P19" t="str">
            <v>L</v>
          </cell>
          <cell r="Q19" t="str">
            <v>Litro</v>
          </cell>
        </row>
        <row r="20">
          <cell r="B20" t="str">
            <v>VALDESIA</v>
          </cell>
          <cell r="C20" t="str">
            <v>Azua</v>
          </cell>
          <cell r="E20" t="str">
            <v>Puerto Plata</v>
          </cell>
          <cell r="F20" t="str">
            <v>Villa Montellano</v>
          </cell>
          <cell r="I20" t="str">
            <v>Villa Riva</v>
          </cell>
          <cell r="J20" t="str">
            <v>Villa Riva</v>
          </cell>
          <cell r="P20" t="str">
            <v>MES</v>
          </cell>
          <cell r="Q20" t="str">
            <v>Mes</v>
          </cell>
        </row>
        <row r="21">
          <cell r="B21" t="str">
            <v>ENRIQUILLO</v>
          </cell>
          <cell r="C21" t="str">
            <v>Barahona</v>
          </cell>
          <cell r="E21" t="str">
            <v>Espaillat</v>
          </cell>
          <cell r="F21" t="str">
            <v>Moca</v>
          </cell>
          <cell r="I21" t="str">
            <v>Salcedo</v>
          </cell>
          <cell r="J21" t="str">
            <v>Jamao Afuera</v>
          </cell>
          <cell r="P21" t="str">
            <v>M</v>
          </cell>
          <cell r="Q21" t="str">
            <v>Metro</v>
          </cell>
        </row>
        <row r="22">
          <cell r="B22" t="str">
            <v>ENRIQUILLO</v>
          </cell>
          <cell r="C22" t="str">
            <v>Bahoruco</v>
          </cell>
          <cell r="E22" t="str">
            <v>Espaillat</v>
          </cell>
          <cell r="F22" t="str">
            <v>Cayetano Germosén</v>
          </cell>
          <cell r="I22" t="str">
            <v>Salcedo</v>
          </cell>
          <cell r="J22" t="str">
            <v>Salcedo</v>
          </cell>
          <cell r="P22" t="str">
            <v>M2</v>
          </cell>
          <cell r="Q22" t="str">
            <v>Metro cuadrado</v>
          </cell>
        </row>
        <row r="23">
          <cell r="B23" t="str">
            <v>ENRIQUILLO</v>
          </cell>
          <cell r="C23" t="str">
            <v>Pedernales</v>
          </cell>
          <cell r="E23" t="str">
            <v>Espaillat</v>
          </cell>
          <cell r="F23" t="str">
            <v>Gaspar Hernández</v>
          </cell>
          <cell r="I23" t="str">
            <v>Tenares</v>
          </cell>
          <cell r="J23" t="str">
            <v>Blanco</v>
          </cell>
          <cell r="P23" t="str">
            <v>M3</v>
          </cell>
          <cell r="Q23" t="str">
            <v>Metro cúbico</v>
          </cell>
        </row>
        <row r="24">
          <cell r="B24" t="str">
            <v>ENRIQUILLO</v>
          </cell>
          <cell r="C24" t="str">
            <v>Independencia</v>
          </cell>
          <cell r="E24" t="str">
            <v>Espaillat</v>
          </cell>
          <cell r="F24" t="str">
            <v>Jamao al Norte</v>
          </cell>
          <cell r="I24" t="str">
            <v>Tenares</v>
          </cell>
          <cell r="J24" t="str">
            <v>Tenares</v>
          </cell>
          <cell r="P24" t="str">
            <v>MG</v>
          </cell>
          <cell r="Q24" t="str">
            <v>Miligramo</v>
          </cell>
        </row>
        <row r="25">
          <cell r="B25" t="str">
            <v>EL VALLE</v>
          </cell>
          <cell r="C25" t="str">
            <v>San Juan</v>
          </cell>
          <cell r="E25" t="str">
            <v>Concepción de La Vega</v>
          </cell>
          <cell r="F25" t="str">
            <v>La Vega</v>
          </cell>
          <cell r="I25" t="str">
            <v>Villa Tapia</v>
          </cell>
          <cell r="J25" t="str">
            <v>Villa Tapia</v>
          </cell>
          <cell r="P25" t="str">
            <v>MM</v>
          </cell>
          <cell r="Q25" t="str">
            <v>Milímetro</v>
          </cell>
        </row>
        <row r="26">
          <cell r="B26" t="str">
            <v>EL VALLE</v>
          </cell>
          <cell r="C26" t="str">
            <v>Elías Piña</v>
          </cell>
          <cell r="E26" t="str">
            <v>Concepción de La Vega</v>
          </cell>
          <cell r="F26" t="str">
            <v>Constanza</v>
          </cell>
          <cell r="I26" t="str">
            <v>Cabrera</v>
          </cell>
          <cell r="J26" t="str">
            <v>Arroyo Salado</v>
          </cell>
          <cell r="P26" t="str">
            <v>MI</v>
          </cell>
          <cell r="Q26" t="str">
            <v>Milla</v>
          </cell>
        </row>
        <row r="27">
          <cell r="B27" t="str">
            <v>YUMA</v>
          </cell>
          <cell r="C27" t="str">
            <v>La Romana</v>
          </cell>
          <cell r="E27" t="str">
            <v>Concepción de La Vega</v>
          </cell>
          <cell r="F27" t="str">
            <v>Jarabacoa</v>
          </cell>
          <cell r="I27" t="str">
            <v>Cabrera</v>
          </cell>
          <cell r="J27" t="str">
            <v>Cabrera</v>
          </cell>
          <cell r="P27" t="str">
            <v>MIL</v>
          </cell>
          <cell r="Q27" t="str">
            <v>Millar</v>
          </cell>
        </row>
        <row r="28">
          <cell r="B28" t="str">
            <v>YUMA</v>
          </cell>
          <cell r="C28" t="str">
            <v>La Altagracia</v>
          </cell>
          <cell r="E28" t="str">
            <v>Concepción de La Vega</v>
          </cell>
          <cell r="F28" t="str">
            <v>Jima Abajo</v>
          </cell>
          <cell r="I28" t="str">
            <v>Cabrera</v>
          </cell>
          <cell r="J28" t="str">
            <v>La Entrada</v>
          </cell>
          <cell r="P28" t="str">
            <v>OZ</v>
          </cell>
          <cell r="Q28" t="str">
            <v>Onza</v>
          </cell>
        </row>
        <row r="29">
          <cell r="B29" t="str">
            <v>YUMA</v>
          </cell>
          <cell r="C29" t="str">
            <v>El Seibo</v>
          </cell>
          <cell r="E29" t="str">
            <v>Monseñor Nouel</v>
          </cell>
          <cell r="F29" t="str">
            <v>Bonao</v>
          </cell>
          <cell r="I29" t="str">
            <v>El Factor</v>
          </cell>
          <cell r="J29" t="str">
            <v>El Factor</v>
          </cell>
          <cell r="P29" t="str">
            <v>PAQ</v>
          </cell>
          <cell r="Q29" t="str">
            <v>Paquete</v>
          </cell>
        </row>
        <row r="30">
          <cell r="B30" t="str">
            <v>HIGUAMO</v>
          </cell>
          <cell r="C30" t="str">
            <v>San Pedro de Macorís</v>
          </cell>
          <cell r="E30" t="str">
            <v>Monseñor Nouel</v>
          </cell>
          <cell r="F30" t="str">
            <v>Maimón</v>
          </cell>
          <cell r="I30" t="str">
            <v>El Factor</v>
          </cell>
          <cell r="J30" t="str">
            <v>El Pozo</v>
          </cell>
          <cell r="P30" t="str">
            <v>FT</v>
          </cell>
          <cell r="Q30" t="str">
            <v>Pie</v>
          </cell>
        </row>
        <row r="31">
          <cell r="B31" t="str">
            <v>HIGUAMO</v>
          </cell>
          <cell r="C31" t="str">
            <v>Hato Mayor</v>
          </cell>
          <cell r="E31" t="str">
            <v>Monseñor Nouel</v>
          </cell>
          <cell r="F31" t="str">
            <v>Piedra Blanca</v>
          </cell>
          <cell r="I31" t="str">
            <v>Nagua</v>
          </cell>
          <cell r="J31" t="str">
            <v>Arroyo al Medio</v>
          </cell>
          <cell r="P31" t="str">
            <v>FT2</v>
          </cell>
          <cell r="Q31" t="str">
            <v>Pie cuadrado</v>
          </cell>
        </row>
        <row r="32">
          <cell r="B32" t="str">
            <v>HIGUAMO</v>
          </cell>
          <cell r="C32" t="str">
            <v>Monte Plata</v>
          </cell>
          <cell r="E32" t="str">
            <v>Sánchez Ramírez</v>
          </cell>
          <cell r="F32" t="str">
            <v>Cotuí</v>
          </cell>
          <cell r="I32" t="str">
            <v>Nagua</v>
          </cell>
          <cell r="J32" t="str">
            <v>Las Gordas</v>
          </cell>
          <cell r="P32" t="str">
            <v>FT3</v>
          </cell>
          <cell r="Q32" t="str">
            <v>Pie cúbico</v>
          </cell>
        </row>
        <row r="33">
          <cell r="B33" t="str">
            <v>OZAMA O METROPOLITANA</v>
          </cell>
          <cell r="C33" t="str">
            <v>Distrito Nacional</v>
          </cell>
          <cell r="E33" t="str">
            <v>Sánchez Ramírez</v>
          </cell>
          <cell r="F33" t="str">
            <v>Cevicos</v>
          </cell>
          <cell r="I33" t="str">
            <v>Nagua</v>
          </cell>
          <cell r="J33" t="str">
            <v>Nagua</v>
          </cell>
          <cell r="P33" t="str">
            <v>IN</v>
          </cell>
          <cell r="Q33" t="str">
            <v>Pulgada</v>
          </cell>
        </row>
        <row r="34">
          <cell r="B34" t="str">
            <v>OZAMA O METROPOLITANA</v>
          </cell>
          <cell r="C34" t="str">
            <v>Santo Domingo</v>
          </cell>
          <cell r="E34" t="str">
            <v>Sánchez Ramírez</v>
          </cell>
          <cell r="F34" t="str">
            <v>Fantino</v>
          </cell>
          <cell r="I34" t="str">
            <v>Nagua</v>
          </cell>
          <cell r="J34" t="str">
            <v>San José de Matanzas</v>
          </cell>
          <cell r="P34" t="str">
            <v>PULG</v>
          </cell>
          <cell r="Q34" t="str">
            <v>Pulgada</v>
          </cell>
        </row>
        <row r="35">
          <cell r="E35" t="str">
            <v>Sánchez Ramírez</v>
          </cell>
          <cell r="F35" t="str">
            <v>La Mata</v>
          </cell>
          <cell r="I35" t="str">
            <v>Río San Juan</v>
          </cell>
          <cell r="J35" t="str">
            <v>Río San Juan</v>
          </cell>
          <cell r="P35" t="str">
            <v>IN2</v>
          </cell>
          <cell r="Q35" t="str">
            <v>Pulgada cuadrada</v>
          </cell>
        </row>
        <row r="36">
          <cell r="E36" t="str">
            <v>Duarte</v>
          </cell>
          <cell r="F36" t="str">
            <v>San Fco. de Macorís</v>
          </cell>
          <cell r="I36" t="str">
            <v>Las Terrenas</v>
          </cell>
          <cell r="J36" t="str">
            <v>Las Terrenas</v>
          </cell>
          <cell r="P36" t="str">
            <v>500UD</v>
          </cell>
          <cell r="Q36" t="str">
            <v>Quinientas unidades</v>
          </cell>
        </row>
        <row r="37">
          <cell r="E37" t="str">
            <v>Duarte</v>
          </cell>
          <cell r="F37" t="str">
            <v>Arenoso</v>
          </cell>
          <cell r="I37" t="str">
            <v>Sánchez</v>
          </cell>
          <cell r="J37" t="str">
            <v>Sánchez</v>
          </cell>
          <cell r="P37" t="str">
            <v>Q</v>
          </cell>
          <cell r="Q37" t="str">
            <v>Quintal</v>
          </cell>
        </row>
        <row r="38">
          <cell r="E38" t="str">
            <v>Duarte</v>
          </cell>
          <cell r="F38" t="str">
            <v>Castillo</v>
          </cell>
          <cell r="I38" t="str">
            <v>Santa Bárbara de Samaná</v>
          </cell>
          <cell r="J38" t="str">
            <v>Arroyo Barril</v>
          </cell>
          <cell r="P38" t="str">
            <v>RESMA</v>
          </cell>
          <cell r="Q38" t="str">
            <v>Resma</v>
          </cell>
        </row>
        <row r="39">
          <cell r="E39" t="str">
            <v>Duarte</v>
          </cell>
          <cell r="F39" t="str">
            <v>Hostos</v>
          </cell>
          <cell r="I39" t="str">
            <v>Santa Bárbara de Samaná</v>
          </cell>
          <cell r="J39" t="str">
            <v>El Limón</v>
          </cell>
          <cell r="P39" t="str">
            <v>SEM</v>
          </cell>
          <cell r="Q39" t="str">
            <v>Semana</v>
          </cell>
        </row>
        <row r="40">
          <cell r="E40" t="str">
            <v>Duarte</v>
          </cell>
          <cell r="F40" t="str">
            <v>Pimentel</v>
          </cell>
          <cell r="I40" t="str">
            <v>Santa Bárbara de Samaná</v>
          </cell>
          <cell r="J40" t="str">
            <v>Las Galeras</v>
          </cell>
          <cell r="P40" t="str">
            <v>TON</v>
          </cell>
          <cell r="Q40" t="str">
            <v>Tonelada</v>
          </cell>
        </row>
        <row r="41">
          <cell r="E41" t="str">
            <v>Duarte</v>
          </cell>
          <cell r="F41" t="str">
            <v>Villa Riva</v>
          </cell>
          <cell r="I41" t="str">
            <v>Santa Bárbara de Samaná</v>
          </cell>
          <cell r="J41" t="str">
            <v>Santa Bárbara de Samaná</v>
          </cell>
          <cell r="P41" t="str">
            <v>UD</v>
          </cell>
          <cell r="Q41" t="str">
            <v>Unidad</v>
          </cell>
        </row>
        <row r="42">
          <cell r="E42" t="str">
            <v>Duarte</v>
          </cell>
          <cell r="F42" t="str">
            <v>Las Guáranas</v>
          </cell>
          <cell r="I42" t="str">
            <v>Dajabón</v>
          </cell>
          <cell r="J42" t="str">
            <v>Cañongo</v>
          </cell>
          <cell r="P42" t="str">
            <v>YD</v>
          </cell>
          <cell r="Q42" t="str">
            <v>Yarda</v>
          </cell>
        </row>
        <row r="43">
          <cell r="E43" t="str">
            <v>Hermanas Mirabal</v>
          </cell>
          <cell r="F43" t="str">
            <v>Salcedo</v>
          </cell>
          <cell r="I43" t="str">
            <v>Dajabón</v>
          </cell>
          <cell r="J43" t="str">
            <v>Dajabón</v>
          </cell>
          <cell r="P43" t="str">
            <v>YD2</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0846A5-42B5-43CE-87F5-B85586E7A18F}" name="Table64" displayName="Table64" ref="A1074:F1077" totalsRowShown="0">
  <tableColumns count="6">
    <tableColumn id="1" xr3:uid="{CDDD6189-439A-42FE-BF4D-32E9FC37574A}" name="CÓDIGO CATÁLOGO"/>
    <tableColumn id="2" xr3:uid="{A8D06DE9-2FFB-4875-AB0C-E08C92565E7C}" name="ARTÍCULO"/>
    <tableColumn id="3" xr3:uid="{5D9941C5-A3BB-4783-BB61-B11720C77E84}" name="UNIDAD DE MEDIDA">
      <calculatedColumnFormula>IFERROR(VLOOKUP("UD",'[1]Informacion '!P:Q,2,FALSE),"")</calculatedColumnFormula>
    </tableColumn>
    <tableColumn id="4" xr3:uid="{CAAADC6E-2440-4FA2-9F5F-8D2C45C8198B}" name="CANTIDAD TOTAL ESTIMADA"/>
    <tableColumn id="5" xr3:uid="{281881D3-AA6A-4923-9CA9-1884606B16E5}" name="PRECIO UNITARIO ESTIMADO"/>
    <tableColumn id="6" xr3:uid="{43978E10-9889-4348-B276-2BADC1C96A66}" name="MONTO TOTAL ESTIMADO">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ADBE636-2BCD-41C8-9D41-24383A3E40FF}" name="Table34" displayName="Table34" ref="A411:F413" totalsRowShown="0">
  <tableColumns count="6">
    <tableColumn id="1" xr3:uid="{F2CB981E-0076-417E-952B-79672F1B9724}" name="CÓDIGO CATÁLOGO"/>
    <tableColumn id="2" xr3:uid="{6227E765-F25E-4A72-8606-6DCE6310EC01}" name="ARTÍCULO"/>
    <tableColumn id="3" xr3:uid="{40923F81-688E-4B40-8099-1F8239EF52E6}" name="UNIDAD DE MEDIDA">
      <calculatedColumnFormula>IFERROR(VLOOKUP("UD",'[1]Informacion '!P:Q,2,FALSE),"")</calculatedColumnFormula>
    </tableColumn>
    <tableColumn id="4" xr3:uid="{2F714128-488E-417E-893C-0A32A4C0B1F3}" name="CANTIDAD TOTAL ESTIMADA"/>
    <tableColumn id="5" xr3:uid="{BACDC67B-7473-4890-80E3-DF05C8170313}" name="PRECIO UNITARIO ESTIMADO"/>
    <tableColumn id="6" xr3:uid="{38976A20-8133-4C64-80F7-1BDF2AA79E1F}" name="MONTO TOTAL ESTIMADO">
      <calculatedColumnFormula>INDIRECT(ADDRESS(ROW(),COLUMN()-2,4))*INDIRECT(ADDRESS(ROW(),COLUMN()-1,4))</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A3AA0B8-1805-4FB7-8381-FA10474BAF13}" name="Table50" displayName="Table50" ref="A800:F843" totalsRowShown="0">
  <tableColumns count="6">
    <tableColumn id="1" xr3:uid="{8C96B116-9962-40F5-87C0-1D97D95FB274}" name="CÓDIGO CATÁLOGO"/>
    <tableColumn id="2" xr3:uid="{C8BC555E-13D2-4AE3-B05D-369E3BB8566F}" name="ARTÍCULO"/>
    <tableColumn id="3" xr3:uid="{7B763054-3651-4E8B-8181-CB112C47B3F2}" name="UNIDAD DE MEDIDA"/>
    <tableColumn id="4" xr3:uid="{19E96C18-DE40-4006-9EB1-DD031A8C66F3}" name="CANTIDAD TOTAL ESTIMADA"/>
    <tableColumn id="5" xr3:uid="{407AA3C6-CD89-48D4-A670-009DF291D2E9}" name="PRECIO UNITARIO ESTIMADO"/>
    <tableColumn id="6" xr3:uid="{CC9DAA43-BDCE-4EA0-9468-FAE916BD3E71}" name="MONTO TOTAL ESTIMADO">
      <calculatedColumnFormula>INDIRECT(ADDRESS(ROW(),COLUMN()-2,4))*INDIRECT(ADDRESS(ROW(),COLUMN()-1,4))</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F4EF196-B6C3-4DF4-9F09-60D153603ACD}" name="Table45" displayName="Table45" ref="A638:F639" totalsRowShown="0">
  <tableColumns count="6">
    <tableColumn id="1" xr3:uid="{92E29816-6899-4313-9457-7408A55B5F15}" name="CÓDIGO CATÁLOGO"/>
    <tableColumn id="2" xr3:uid="{2497091F-E858-4E5E-89A1-A216FFCDBF03}" name="ARTÍCULO">
      <calculatedColumnFormula>IFERROR(INDEX(UNSPSCDes,MATCH(INDIRECT(ADDRESS(ROW(),COLUMN()-1,4)),UNSPSCCode,0)),IF(INDIRECT(ADDRESS(ROW(),COLUMN()-1,4))="44103103","Tóner para impresoras o fax",""))</calculatedColumnFormula>
    </tableColumn>
    <tableColumn id="3" xr3:uid="{EE9E5EFC-FD9E-4FAF-8211-589AD804DF6A}" name="UNIDAD DE MEDIDA">
      <calculatedColumnFormula>IFERROR(VLOOKUP("PAQ",'[1]Informacion '!P:Q,2,FALSE),"")</calculatedColumnFormula>
    </tableColumn>
    <tableColumn id="4" xr3:uid="{8A3A8233-046E-40C9-8268-E91092508121}" name="CANTIDAD TOTAL ESTIMADA"/>
    <tableColumn id="5" xr3:uid="{A05C46A4-CC08-4EBD-9F77-1FDFC688005A}" name="PRECIO UNITARIO ESTIMADO"/>
    <tableColumn id="6" xr3:uid="{5A47BAB6-810A-44FF-ABA5-E4A9DF0A1256}" name="MONTO TOTAL ESTIMADO">
      <calculatedColumnFormula>INDIRECT(ADDRESS(ROW(),COLUMN()-2,4))*INDIRECT(ADDRESS(ROW(),COLUMN()-1,4))</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C6CFC2D-EA21-4DCA-9DB6-ED2CAEC4D458}" name="Table24" displayName="Table24" ref="A264:F267" totalsRowShown="0">
  <tableColumns count="6">
    <tableColumn id="1" xr3:uid="{03427456-9B68-47D0-8097-AD6F90C18F3C}" name="CÓDIGO CATÁLOGO"/>
    <tableColumn id="2" xr3:uid="{788762AC-52BF-46F8-8948-5B253178671E}" name="ARTÍCULO"/>
    <tableColumn id="3" xr3:uid="{05D75DB1-2585-4826-B0F2-9D3E4DEBDB23}" name="UNIDAD DE MEDIDA">
      <calculatedColumnFormula>IFERROR(VLOOKUP("PAQ",'[1]Informacion '!P:Q,2,FALSE),"")</calculatedColumnFormula>
    </tableColumn>
    <tableColumn id="4" xr3:uid="{A69238E3-4D05-4C87-88E4-02B0D108C31E}" name="CANTIDAD TOTAL ESTIMADA"/>
    <tableColumn id="5" xr3:uid="{8805C874-91B0-4D48-BF26-B13A6734F0E9}" name="PRECIO UNITARIO ESTIMADO"/>
    <tableColumn id="6" xr3:uid="{F3D96C32-1241-4006-A1AD-3D8C4DC155CB}" name="MONTO TOTAL ESTIMADO">
      <calculatedColumnFormula>INDIRECT(ADDRESS(ROW(),COLUMN()-2,4))*INDIRECT(ADDRESS(ROW(),COLUMN()-1,4))</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0FBEE18-2781-4C4E-8AA1-28E9803D13A0}" name="Table20" displayName="Table20" ref="A219:F220" totalsRowShown="0">
  <tableColumns count="6">
    <tableColumn id="1" xr3:uid="{BC0AE526-8492-4FE4-B51E-15E48B1DF9D8}" name="CÓDIGO CATÁLOGO"/>
    <tableColumn id="2" xr3:uid="{36DD23D9-B9C8-4407-8C17-28D38E5E9EA3}" name="ARTÍCULO">
      <calculatedColumnFormula>IFERROR(INDEX(UNSPSCDes,MATCH(INDIRECT(ADDRESS(ROW(),COLUMN()-1,4)),UNSPSCCode,0)),IF(INDIRECT(ADDRESS(ROW(),COLUMN()-1,4))="72101506","Servicios de mantenimiento de elevadores. ",""))</calculatedColumnFormula>
    </tableColumn>
    <tableColumn id="3" xr3:uid="{2D4B96C6-2802-4823-94A9-84138CF329BD}" name="UNIDAD DE MEDIDA">
      <calculatedColumnFormula>IFERROR(VLOOKUP("PAQ",'[1]Informacion '!P:Q,2,FALSE),"")</calculatedColumnFormula>
    </tableColumn>
    <tableColumn id="4" xr3:uid="{AAFB3D7F-BB38-4CFA-BAB4-46D52C32446F}" name="CANTIDAD TOTAL ESTIMADA"/>
    <tableColumn id="5" xr3:uid="{7F1349D3-80C0-4D61-BF68-A5AD0573D1F3}" name="PRECIO UNITARIO ESTIMADO"/>
    <tableColumn id="6" xr3:uid="{3CA0CEAE-25CB-47C5-A95F-5AD1B7913F53}" name="MONTO TOTAL ESTIMADO">
      <calculatedColumnFormula>INDIRECT(ADDRESS(ROW(),COLUMN()-2,4))*INDIRECT(ADDRESS(ROW(),COLUMN()-1,4))</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BF7B3B2-161F-4D5F-8486-85C1F3C48D61}" name="Table5" displayName="Table5" ref="A33:F34" totalsRowShown="0">
  <tableColumns count="6">
    <tableColumn id="1" xr3:uid="{C0934367-BD9E-4C55-BB2D-BEC2D4CFB421}" name="CÓDIGO CATÁLOGO"/>
    <tableColumn id="2" xr3:uid="{051EC4AC-3810-4317-9D60-11C6ED9744CB}" name="ARTÍCULO">
      <calculatedColumnFormula>IFERROR(INDEX(UNSPSCDes,MATCH(INDIRECT(ADDRESS(ROW(),COLUMN()-1,4)),UNSPSCCode,0)),IF(INDIRECT(ADDRESS(ROW(),COLUMN()-1,4))="82101905","Inserción en medios impresos",""))</calculatedColumnFormula>
    </tableColumn>
    <tableColumn id="3" xr3:uid="{860A730D-C270-4B64-8346-990EBF7BFDB1}" name="UNIDAD DE MEDIDA">
      <calculatedColumnFormula>IFERROR(VLOOKUP("PAQ",'[1]Informacion '!P:Q,2,FALSE),"")</calculatedColumnFormula>
    </tableColumn>
    <tableColumn id="4" xr3:uid="{6DF98384-11C5-4EEE-8E8F-FC8DD03AD020}" name="CANTIDAD TOTAL ESTIMADA"/>
    <tableColumn id="5" xr3:uid="{070226B3-EBF1-40F1-8D16-557F4B5A5FC5}" name="PRECIO UNITARIO ESTIMADO"/>
    <tableColumn id="6" xr3:uid="{98152BF0-ED8F-48D3-AA90-CDCC7EBEDD32}" name="MONTO TOTAL ESTIMADO">
      <calculatedColumnFormula>INDIRECT(ADDRESS(ROW(),COLUMN()-2,4))*INDIRECT(ADDRESS(ROW(),COLUMN()-1,4))</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95ED213-B559-42F1-BDDA-866F1E10626D}" name="Table19" displayName="Table19" ref="A207:F209" totalsRowShown="0">
  <tableColumns count="6">
    <tableColumn id="1" xr3:uid="{DB7AADF7-1169-4D1C-B568-0939ED6A6170}" name="CÓDIGO CATÁLOGO"/>
    <tableColumn id="2" xr3:uid="{5457B2BB-C271-4223-A198-04D2A7F58C59}" name="ARTÍCULO"/>
    <tableColumn id="3" xr3:uid="{B39C3665-A51A-4B88-9D1D-FFCF96771DB2}" name="UNIDAD DE MEDIDA">
      <calculatedColumnFormula>IFERROR(VLOOKUP("PAQ",'[1]Informacion '!P:Q,2,FALSE),"")</calculatedColumnFormula>
    </tableColumn>
    <tableColumn id="4" xr3:uid="{4BA8BE50-F74A-4C0C-9CA5-A530568512D2}" name="CANTIDAD TOTAL ESTIMADA"/>
    <tableColumn id="5" xr3:uid="{D1E14B17-E08D-4790-977E-AD018DF04D96}" name="PRECIO UNITARIO ESTIMADO"/>
    <tableColumn id="6" xr3:uid="{DA30E653-DEE9-48E7-868A-5C5B93DB2599}" name="MONTO TOTAL ESTIMADO">
      <calculatedColumnFormula>INDIRECT(ADDRESS(ROW(),COLUMN()-2,4))*INDIRECT(ADDRESS(ROW(),COLUMN()-1,4))</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A0EF684-3860-4E82-ACFE-2EAB2DF0C75B}" name="Table65" displayName="Table65" ref="A1087:F1089" totalsRowShown="0">
  <tableColumns count="6">
    <tableColumn id="1" xr3:uid="{DECEE88E-D22D-489E-AE71-FAE2FEBD07E7}" name="CÓDIGO CATÁLOGO"/>
    <tableColumn id="2" xr3:uid="{0EE283CC-3D71-419F-A306-8463633B4FB5}" name="ARTÍCULO"/>
    <tableColumn id="3" xr3:uid="{30F0EECB-B663-41AC-832D-0224E2550034}" name="UNIDAD DE MEDIDA">
      <calculatedColumnFormula>IFERROR(VLOOKUP("UD",'[1]Informacion '!P:Q,2,FALSE),"")</calculatedColumnFormula>
    </tableColumn>
    <tableColumn id="4" xr3:uid="{65F8D2F3-1339-4A95-9BE0-A17435746D45}" name="CANTIDAD TOTAL ESTIMADA"/>
    <tableColumn id="5" xr3:uid="{57FE3D4E-620E-42F8-8B80-569F1F542F86}" name="PRECIO UNITARIO ESTIMADO"/>
    <tableColumn id="6" xr3:uid="{C3765844-6FCE-4059-BB7F-B7F036821008}" name="MONTO TOTAL ESTIMADO">
      <calculatedColumnFormula>INDIRECT(ADDRESS(ROW(),COLUMN()-2,4))*INDIRECT(ADDRESS(ROW(),COLUMN()-1,4))</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494A8C6-2415-459C-891D-D6ACC0D928EE}" name="Table54" displayName="Table54" ref="A907:F934" totalsRowShown="0">
  <tableColumns count="6">
    <tableColumn id="1" xr3:uid="{F94B1FEE-DE79-44B2-9C9F-6473EC31DCE4}" name="CÓDIGO CATÁLOGO"/>
    <tableColumn id="2" xr3:uid="{F87CC896-DFE3-4F61-B757-2B0E43D19C59}" name="ARTÍCULO"/>
    <tableColumn id="3" xr3:uid="{CA715778-BDEF-4A64-A56A-1C61C7CF8376}" name="UNIDAD DE MEDIDA">
      <calculatedColumnFormula>IFERROR(VLOOKUP("UD",'[1]Informacion '!P:Q,2,FALSE),"")</calculatedColumnFormula>
    </tableColumn>
    <tableColumn id="4" xr3:uid="{47F118F7-12EB-491C-90AB-4A57899B8496}" name="CANTIDAD TOTAL ESTIMADA"/>
    <tableColumn id="5" xr3:uid="{9B01F3ED-CED4-4BFB-8223-47E3A22ECAD7}" name="PRECIO UNITARIO ESTIMADO"/>
    <tableColumn id="6" xr3:uid="{F959823C-E8A9-4301-82B9-AD01B21B4F1D}" name="MONTO TOTAL ESTIMADO">
      <calculatedColumnFormula>INDIRECT(ADDRESS(ROW(),COLUMN()-2,4))*INDIRECT(ADDRESS(ROW(),COLUMN()-1,4))</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2CC250E-E105-49D2-9342-7243F4F3A4D6}" name="Table42" displayName="Table42" ref="A513:F560" totalsRowShown="0">
  <tableColumns count="6">
    <tableColumn id="1" xr3:uid="{345DCAB2-CFCE-4611-A374-15495E148EFD}" name="CÓDIGO CATÁLOGO"/>
    <tableColumn id="2" xr3:uid="{A7C90F8B-FC69-4755-BD4D-9F54596312D4}" name="ARTÍCULO"/>
    <tableColumn id="3" xr3:uid="{FA7FE7CE-906B-49A3-80A5-59E16FD6B80C}" name="UNIDAD DE MEDIDA"/>
    <tableColumn id="4" xr3:uid="{DF5FAB10-4C2C-45DC-BF58-4EA4A42EB1CF}" name="CANTIDAD TOTAL ESTIMADA"/>
    <tableColumn id="5" xr3:uid="{C52190C2-BA62-4094-B438-00107717EB8F}" name="PRECIO UNITARIO ESTIMADO"/>
    <tableColumn id="6" xr3:uid="{26E71FC6-44BA-49BC-9D3D-F9E3EB5EF9CF}" name="MONTO TOTAL ESTIMADO">
      <calculatedColumnFormula>INDIRECT(ADDRESS(ROW(),COLUMN()-2,4))*INDIRECT(ADDRESS(ROW(),COLUMN()-1,4))</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BD041B-5DD9-4550-8A2D-03E27018BB9D}" name="Table35" displayName="Table35" ref="A423:F425" totalsRowShown="0">
  <tableColumns count="6">
    <tableColumn id="1" xr3:uid="{F8269678-EF4A-4C0A-8D2E-BDAF558CE1BE}" name="CÓDIGO CATÁLOGO"/>
    <tableColumn id="2" xr3:uid="{AB2F89D3-82B4-48BF-B9D2-5F6342960BB6}" name="ARTÍCULO"/>
    <tableColumn id="3" xr3:uid="{64F1E83F-BB83-4DA5-A7B0-9FB265D63E23}" name="UNIDAD DE MEDIDA">
      <calculatedColumnFormula>IFERROR(VLOOKUP("PAQ",'[1]Informacion '!P:Q,2,FALSE),"")</calculatedColumnFormula>
    </tableColumn>
    <tableColumn id="4" xr3:uid="{92A6FDC0-1727-4927-83F9-77E78A553165}" name="CANTIDAD TOTAL ESTIMADA"/>
    <tableColumn id="5" xr3:uid="{B3C1E40C-16B4-45A8-9A58-DB925BD0FB05}" name="PRECIO UNITARIO ESTIMADO"/>
    <tableColumn id="6" xr3:uid="{2B2B17D6-FC1A-4403-96B5-BE035B30FAA1}" name="MONTO TOTAL ESTIMADO">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2DFCF67-8D44-4BBD-B8C1-47ADCE37C0D5}" name="Table43" displayName="Table43" ref="A570:F617" totalsRowShown="0">
  <tableColumns count="6">
    <tableColumn id="1" xr3:uid="{40FD99B4-06CF-4606-9474-F863A1A3C105}" name="CÓDIGO CATÁLOGO"/>
    <tableColumn id="2" xr3:uid="{C78F55D3-53C3-41EE-941B-B76173228D41}" name="ARTÍCULO"/>
    <tableColumn id="3" xr3:uid="{43EAD686-E1AE-4DBC-BE22-E76EC068DACE}" name="UNIDAD DE MEDIDA"/>
    <tableColumn id="4" xr3:uid="{C0B8B531-6069-4A33-88AA-A061CA78134B}" name="CANTIDAD TOTAL ESTIMADA"/>
    <tableColumn id="5" xr3:uid="{FDB7356B-3FF6-41AB-9482-D4D6FDC35747}" name="PRECIO UNITARIO ESTIMADO"/>
    <tableColumn id="6" xr3:uid="{8801A329-ED5E-451E-B48F-009095D4F1EF}" name="MONTO TOTAL ESTIMADO">
      <calculatedColumnFormula>INDIRECT(ADDRESS(ROW(),COLUMN()-2,4))*INDIRECT(ADDRESS(ROW(),COLUMN()-1,4))</calculatedColumnFormula>
    </tableColumn>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70A692E-D832-4EDF-BD37-62148305BBE1}" name="Table61" displayName="Table61" ref="A1037:F1039" totalsRowShown="0">
  <tableColumns count="6">
    <tableColumn id="1" xr3:uid="{9C7CECB3-1E44-44F6-9A36-CEFFFF3598AE}" name="CÓDIGO CATÁLOGO"/>
    <tableColumn id="2" xr3:uid="{6FB831A9-8865-4002-8F8A-A25D2AAD90A0}" name="ARTÍCULO"/>
    <tableColumn id="3" xr3:uid="{318427FA-8621-4533-A144-301387A50149}" name="UNIDAD DE MEDIDA">
      <calculatedColumnFormula>IFERROR(VLOOKUP("UD",'[1]Informacion '!P:Q,2,FALSE),"")</calculatedColumnFormula>
    </tableColumn>
    <tableColumn id="4" xr3:uid="{346DAEF0-FE1F-424F-8AA2-478F1F1712CE}" name="CANTIDAD TOTAL ESTIMADA"/>
    <tableColumn id="5" xr3:uid="{D8FA7775-4D39-44AD-86BB-8BF193DBBB07}" name="PRECIO UNITARIO ESTIMADO"/>
    <tableColumn id="6" xr3:uid="{9CCCB8B3-6BA7-4F4D-B164-0CAC412C551F}" name="MONTO TOTAL ESTIMADO">
      <calculatedColumnFormula>INDIRECT(ADDRESS(ROW(),COLUMN()-2,4))*INDIRECT(ADDRESS(ROW(),COLUMN()-1,4))</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F48FA45-F62D-47F9-9E6B-F3F936404D83}" name="Table27" displayName="Table27" ref="A302:F311" totalsRowShown="0">
  <tableColumns count="6">
    <tableColumn id="1" xr3:uid="{5F0A1E5F-B04B-4409-B519-21F06504D35C}" name="CÓDIGO CATÁLOGO"/>
    <tableColumn id="2" xr3:uid="{2D9DEE8E-DE4E-4F97-9216-DAB3493117BA}" name="ARTÍCULO"/>
    <tableColumn id="3" xr3:uid="{C7B3288E-5693-47F7-9E0A-643420732115}" name="UNIDAD DE MEDIDA"/>
    <tableColumn id="4" xr3:uid="{6B02FD87-F8C7-4F5F-80FD-2AEAEA39E517}" name="CANTIDAD TOTAL ESTIMADA"/>
    <tableColumn id="5" xr3:uid="{AD4FA235-AA20-4F62-A235-8B0DA1ADEF5D}" name="PRECIO UNITARIO ESTIMADO"/>
    <tableColumn id="6" xr3:uid="{49EBE748-602F-41CB-8D47-A84B63319720}" name="MONTO TOTAL ESTIMADO">
      <calculatedColumnFormula>INDIRECT(ADDRESS(ROW(),COLUMN()-2,4))*INDIRECT(ADDRESS(ROW(),COLUMN()-1,4))</calculatedColumnFormula>
    </tableColumn>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6127EB3-0809-4369-8011-0BCC956C2430}" name="Table9" displayName="Table9" ref="A79:F80" totalsRowShown="0">
  <tableColumns count="6">
    <tableColumn id="1" xr3:uid="{1D4D29D2-507A-4A97-A314-8FA056F71E05}" name="CÓDIGO CATÁLOGO"/>
    <tableColumn id="2" xr3:uid="{8FBABE40-B6CB-42EC-ADC3-0E0BC1C549F0}" name="ARTÍCULO">
      <calculatedColumnFormula>IFERROR(INDEX(UNSPSCDes,MATCH(INDIRECT(ADDRESS(ROW(),COLUMN()-1,4)),UNSPSCCode,0)),IF(INDIRECT(ADDRESS(ROW(),COLUMN()-1,4))="72102103","Servicios de exterminación o fumigación",""))</calculatedColumnFormula>
    </tableColumn>
    <tableColumn id="3" xr3:uid="{25E3A489-3CBB-4412-B1F5-441F6442A1EB}" name="UNIDAD DE MEDIDA">
      <calculatedColumnFormula>IFERROR(VLOOKUP("PAQ",'[1]Informacion '!P:Q,2,FALSE),"")</calculatedColumnFormula>
    </tableColumn>
    <tableColumn id="4" xr3:uid="{21417DB0-D456-402C-A8E2-50C63EF82092}" name="CANTIDAD TOTAL ESTIMADA"/>
    <tableColumn id="5" xr3:uid="{DAA97578-BEA5-4BEC-B55A-AC0216567D45}" name="PRECIO UNITARIO ESTIMADO"/>
    <tableColumn id="6" xr3:uid="{94B03E46-46C4-43B1-A8F8-7881C047339D}" name="MONTO TOTAL ESTIMADO">
      <calculatedColumnFormula>INDIRECT(ADDRESS(ROW(),COLUMN()-2,4))*INDIRECT(ADDRESS(ROW(),COLUMN()-1,4))</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DD8CD03-62E3-4B46-906B-24648E2FDAF2}" name="Table31" displayName="Table31" ref="A371:F375" totalsRowShown="0">
  <tableColumns count="6">
    <tableColumn id="1" xr3:uid="{ABDABD93-F087-4E34-9C7F-674E89787385}" name="CÓDIGO CATÁLOGO"/>
    <tableColumn id="2" xr3:uid="{316EAA53-1751-4AA8-ABCF-56BA58522356}" name="ARTÍCULO"/>
    <tableColumn id="3" xr3:uid="{B14EDF01-150B-4DCB-B76B-5F499FDF3FB0}" name="UNIDAD DE MEDIDA"/>
    <tableColumn id="4" xr3:uid="{D7AF76CE-A648-4271-9C94-5015B455239F}" name="CANTIDAD TOTAL ESTIMADA"/>
    <tableColumn id="5" xr3:uid="{9726E5BC-8092-461D-8B59-1804806B0DDE}" name="PRECIO UNITARIO ESTIMADO"/>
    <tableColumn id="6" xr3:uid="{65AD0BAE-8F9C-4760-B913-2E736F803DF2}" name="MONTO TOTAL ESTIMADO">
      <calculatedColumnFormula>INDIRECT(ADDRESS(ROW(),COLUMN()-2,4))*INDIRECT(ADDRESS(ROW(),COLUMN()-1,4))</calculatedColumnFormula>
    </tableColumn>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04A8DAC-7A2F-48C0-898C-86E03DA8BD98}" name="Table66" displayName="Table66" ref="A1099:F1100" totalsRowShown="0">
  <tableColumns count="6">
    <tableColumn id="1" xr3:uid="{4DF90331-118E-4969-B826-77B4AFB0927B}" name="CÓDIGO CATÁLOGO"/>
    <tableColumn id="2" xr3:uid="{99DB2391-A1C8-4007-9584-D1990A9AC9A3}" name="ARTÍCULO">
      <calculatedColumnFormula>IFERROR(INDEX(UNSPSCDes,MATCH(INDIRECT(ADDRESS(ROW(),COLUMN()-1,4)),UNSPSCCode,0)),IF(INDIRECT(ADDRESS(ROW(),COLUMN()-1,4))="72102302","Instalación, reparación o mantenimiento de sistemas de calefacción",""))</calculatedColumnFormula>
    </tableColumn>
    <tableColumn id="3" xr3:uid="{E0B5A8FF-C6D9-46ED-8A3F-CB39960B28BF}" name="UNIDAD DE MEDIDA">
      <calculatedColumnFormula>IFERROR(VLOOKUP("PAQ",'[1]Informacion '!P:Q,2,FALSE),"")</calculatedColumnFormula>
    </tableColumn>
    <tableColumn id="4" xr3:uid="{7ADCB05E-E58D-45FF-AB0D-7AC7998B9954}" name="CANTIDAD TOTAL ESTIMADA"/>
    <tableColumn id="5" xr3:uid="{54708D47-579D-4A91-98A7-8D996A74754F}" name="PRECIO UNITARIO ESTIMADO"/>
    <tableColumn id="6" xr3:uid="{3BFEB787-D9BF-40E1-B73E-0ED8E44C57FE}" name="MONTO TOTAL ESTIMADO">
      <calculatedColumnFormula>INDIRECT(ADDRESS(ROW(),COLUMN()-2,4))*INDIRECT(ADDRESS(ROW(),COLUMN()-1,4))</calculatedColumnFormula>
    </tableColumn>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007B653-53D9-4780-BF20-A5FBE54AF0FE}" name="Table63" displayName="Table63" ref="A1062:F1064" totalsRowShown="0">
  <tableColumns count="6">
    <tableColumn id="1" xr3:uid="{AFA7403F-E28F-4EFE-ADB5-5AEF154CE1A6}" name="CÓDIGO CATÁLOGO"/>
    <tableColumn id="2" xr3:uid="{B496676A-66E0-463E-848D-3F4A41800824}" name="ARTÍCULO">
      <calculatedColumnFormula>IFERROR(INDEX(UNSPSCDes,MATCH(INDIRECT(ADDRESS(ROW(),COLUMN()-1,4)),UNSPSCCode,0)),IF(INDIRECT(ADDRESS(ROW(),COLUMN()-1,4))="50202301","Agua",""))</calculatedColumnFormula>
    </tableColumn>
    <tableColumn id="3" xr3:uid="{B4CF8068-D032-4FBA-9BE2-033D27F96188}" name="UNIDAD DE MEDIDA"/>
    <tableColumn id="4" xr3:uid="{02005D36-9F31-481E-9D38-35AA819F2597}" name="CANTIDAD TOTAL ESTIMADA"/>
    <tableColumn id="5" xr3:uid="{0734DFBD-1CA2-4F3D-8C10-6DC34DD6182B}" name="PRECIO UNITARIO ESTIMADO"/>
    <tableColumn id="6" xr3:uid="{5128A8CF-6C83-4821-9D9C-1490085B2D5B}" name="MONTO TOTAL ESTIMADO">
      <calculatedColumnFormula>INDIRECT(ADDRESS(ROW(),COLUMN()-2,4))*INDIRECT(ADDRESS(ROW(),COLUMN()-1,4))</calculatedColumnFormula>
    </tableColumn>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F350575-E28F-43F1-B9A6-4960BB2B57DE}" name="Table51" displayName="Table51" ref="A853:F854" totalsRowShown="0">
  <tableColumns count="6">
    <tableColumn id="1" xr3:uid="{610ED3BB-5FB5-4D50-9BDA-BC2F61F23498}" name="CÓDIGO CATÁLOGO"/>
    <tableColumn id="2" xr3:uid="{94C29B76-17E5-402D-8288-7938788A0CE3}" name="ARTÍCULO">
      <calculatedColumnFormula>IFERROR(INDEX(UNSPSCDes,MATCH(INDIRECT(ADDRESS(ROW(),COLUMN()-1,4)),UNSPSCCode,0)),IF(INDIRECT(ADDRESS(ROW(),COLUMN()-1,4))="30102403","Varillas de hierro",""))</calculatedColumnFormula>
    </tableColumn>
    <tableColumn id="3" xr3:uid="{FF63973C-DF13-42C0-8D03-B59BA36B924B}" name="UNIDAD DE MEDIDA">
      <calculatedColumnFormula>IFERROR(VLOOKUP("Q",'[1]Informacion '!P:Q,2,FALSE),"")</calculatedColumnFormula>
    </tableColumn>
    <tableColumn id="4" xr3:uid="{91876564-6135-4AE0-B864-F43FE7376D99}" name="CANTIDAD TOTAL ESTIMADA"/>
    <tableColumn id="5" xr3:uid="{1CE53F5E-D6B0-463F-B909-DE881B80439B}" name="PRECIO UNITARIO ESTIMADO"/>
    <tableColumn id="6" xr3:uid="{9BA18C68-2ACA-4354-90DC-B5618DA2847A}" name="MONTO TOTAL ESTIMADO">
      <calculatedColumnFormula>INDIRECT(ADDRESS(ROW(),COLUMN()-2,4))*INDIRECT(ADDRESS(ROW(),COLUMN()-1,4))</calculatedColumnFormula>
    </tableColumn>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814AAC2-D6FB-47E1-ABBB-59CB55BED896}" name="Table25" displayName="Table25" ref="A277:F281" totalsRowShown="0">
  <tableColumns count="6">
    <tableColumn id="1" xr3:uid="{0C805EB1-1616-4E1F-BD67-34D230C99DAF}" name="CÓDIGO CATÁLOGO"/>
    <tableColumn id="2" xr3:uid="{BA43A892-E43E-44CC-8E85-82E275495CB8}" name="ARTÍCULO"/>
    <tableColumn id="3" xr3:uid="{3337F038-7334-4765-B7F5-08AC80773882}" name="UNIDAD DE MEDIDA">
      <calculatedColumnFormula>IFERROR(VLOOKUP("UD",'[1]Informacion '!P:Q,2,FALSE),"")</calculatedColumnFormula>
    </tableColumn>
    <tableColumn id="4" xr3:uid="{CB71DB59-36EF-4927-8E00-F57C384352FC}" name="CANTIDAD TOTAL ESTIMADA"/>
    <tableColumn id="5" xr3:uid="{BACBB581-028E-4EE4-B142-43A8A7EC9E1C}" name="PRECIO UNITARIO ESTIMADO"/>
    <tableColumn id="6" xr3:uid="{36A1A133-935A-48DA-A782-5E507095939F}" name="MONTO TOTAL ESTIMADO">
      <calculatedColumnFormula>INDIRECT(ADDRESS(ROW(),COLUMN()-2,4))*INDIRECT(ADDRESS(ROW(),COLUMN()-1,4))</calculatedColumnFormula>
    </tableColumn>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2DC04DA-B507-4ED4-80FE-6AE236B38649}" name="Table17" displayName="Table17" ref="A185:F186" totalsRowShown="0">
  <tableColumns count="6">
    <tableColumn id="1" xr3:uid="{79A08F6F-B6F5-4FC0-92D9-3B43834EA7A6}" name="CÓDIGO CATÁLOGO"/>
    <tableColumn id="2" xr3:uid="{F433C2E3-6BB5-4E83-A814-28CCEA08138E}" name="ARTÍCULO">
      <calculatedColumnFormula>IFERROR(INDEX(UNSPSCDes,MATCH(INDIRECT(ADDRESS(ROW(),COLUMN()-1,4)),UNSPSCCode,0)),IF(INDIRECT(ADDRESS(ROW(),COLUMN()-1,4))="10161513","Palmeras",""))</calculatedColumnFormula>
    </tableColumn>
    <tableColumn id="3" xr3:uid="{3FC710D1-CA07-4C3A-9EB3-A24A3F213BE3}" name="UNIDAD DE MEDIDA">
      <calculatedColumnFormula>IFERROR(VLOOKUP("UD",'[1]Informacion '!P:Q,2,FALSE),"")</calculatedColumnFormula>
    </tableColumn>
    <tableColumn id="4" xr3:uid="{9C42A9C2-A0CB-455F-B7DD-9EDC1A11B2B1}" name="CANTIDAD TOTAL ESTIMADA"/>
    <tableColumn id="5" xr3:uid="{CC24054B-F9B8-4683-8476-A34588F50E23}" name="PRECIO UNITARIO ESTIMADO"/>
    <tableColumn id="6" xr3:uid="{1E21F110-FDF1-4E18-9560-7F0454266B02}" name="MONTO TOTAL ESTIMADO">
      <calculatedColumnFormula>INDIRECT(ADDRESS(ROW(),COLUMN()-2,4))*INDIRECT(ADDRESS(ROW(),COLUMN()-1,4))</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D6875F-3528-4752-B880-EA53CC6E472F}" name="Table14" displayName="Table14" ref="A134:F135" totalsRowShown="0">
  <tableColumns count="6">
    <tableColumn id="1" xr3:uid="{A201AAD6-3CBA-4EAE-B415-5B95EB98C19B}" name="CÓDIGO CATÁLOGO"/>
    <tableColumn id="2" xr3:uid="{9FC6BCC3-B94B-4C63-A8FA-6E0B5C1B844A}" name="ARTÍCULO">
      <calculatedColumnFormula>IFERROR(INDEX(UNSPSCDes,MATCH(INDIRECT(ADDRESS(ROW(),COLUMN()-1,4)),UNSPSCCode,0)),IF(INDIRECT(ADDRESS(ROW(),COLUMN()-1,4))="90101603","Servicios de cáterin",""))</calculatedColumnFormula>
    </tableColumn>
    <tableColumn id="3" xr3:uid="{E8072857-55C2-488B-84F7-E6C5290D670E}" name="UNIDAD DE MEDIDA">
      <calculatedColumnFormula>IFERROR(VLOOKUP("PAQ",'[1]Informacion '!P:Q,2,FALSE),"")</calculatedColumnFormula>
    </tableColumn>
    <tableColumn id="4" xr3:uid="{CB85718B-67A7-4E44-86DB-BDB1EAED87F8}" name="CANTIDAD TOTAL ESTIMADA"/>
    <tableColumn id="5" xr3:uid="{1E456079-6D89-42E0-9243-21EAB9A4CF29}" name="PRECIO UNITARIO ESTIMADO"/>
    <tableColumn id="6" xr3:uid="{C7D4FCA6-160F-476C-8377-F7DBCFCA56E8}" name="MONTO TOTAL ESTIMADO">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B11C11AC-2602-492B-871E-B73060E17F10}" name="Table62" displayName="Table62" ref="A1049:F1052" totalsRowShown="0">
  <tableColumns count="6">
    <tableColumn id="1" xr3:uid="{72750FA9-B9F4-430A-882E-D351F3B13CAC}" name="CÓDIGO CATÁLOGO"/>
    <tableColumn id="2" xr3:uid="{71BBD220-E872-414D-8E71-6D5FD91F8C30}" name="ARTÍCULO"/>
    <tableColumn id="3" xr3:uid="{B9F5E317-D336-419B-82CF-3D1126B45025}" name="UNIDAD DE MEDIDA"/>
    <tableColumn id="4" xr3:uid="{DEBE8257-14E8-40A4-8B4B-2A6627561FDA}" name="CANTIDAD TOTAL ESTIMADA"/>
    <tableColumn id="5" xr3:uid="{F22E178A-3DE9-4A8F-9398-18717A919B40}" name="PRECIO UNITARIO ESTIMADO"/>
    <tableColumn id="6" xr3:uid="{60392C08-9F48-4DB7-A084-BD5AA307A23A}" name="MONTO TOTAL ESTIMADO">
      <calculatedColumnFormula>INDIRECT(ADDRESS(ROW(),COLUMN()-2,4))*INDIRECT(ADDRESS(ROW(),COLUMN()-1,4))</calculatedColumnFormula>
    </tableColumn>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42574977-706A-4226-B224-5285766BC89F}" name="Table52" displayName="Table52" ref="A864:F878" totalsRowShown="0">
  <tableColumns count="6">
    <tableColumn id="1" xr3:uid="{0A68E3FB-3311-489D-AE8B-229269E5393A}" name="CÓDIGO CATÁLOGO"/>
    <tableColumn id="2" xr3:uid="{D22459A0-9684-42A2-BA31-1CD021D46531}" name="ARTÍCULO"/>
    <tableColumn id="3" xr3:uid="{DBA18D1C-65C3-405E-8225-7A0CF9E83046}" name="UNIDAD DE MEDIDA"/>
    <tableColumn id="4" xr3:uid="{979E020A-5FA2-4081-BBC8-1D12C123330F}" name="CANTIDAD TOTAL ESTIMADA"/>
    <tableColumn id="5" xr3:uid="{B9B52EFB-0453-40DF-9726-EF132645E839}" name="PRECIO UNITARIO ESTIMADO"/>
    <tableColumn id="6" xr3:uid="{2471C739-34A3-4EF8-AC3B-8AEED312FCB6}" name="MONTO TOTAL ESTIMADO">
      <calculatedColumnFormula>INDIRECT(ADDRESS(ROW(),COLUMN()-2,4))*INDIRECT(ADDRESS(ROW(),COLUMN()-1,4))</calculatedColumnFormula>
    </tableColumn>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469DFFD-1EE4-4B8A-B0DE-B176808C9B42}" name="Table38" displayName="Table38" ref="A462:F465" totalsRowShown="0">
  <tableColumns count="6">
    <tableColumn id="1" xr3:uid="{0B7AAD63-F150-4626-87B4-4F57C67F4872}" name="CÓDIGO CATÁLOGO"/>
    <tableColumn id="2" xr3:uid="{890A696D-7BE3-42B4-9916-4F08DF5AA928}" name="ARTÍCULO"/>
    <tableColumn id="3" xr3:uid="{D56D22DD-145C-4763-A5C9-2B2F739B754C}" name="UNIDAD DE MEDIDA"/>
    <tableColumn id="4" xr3:uid="{BC88B1B3-AA83-472C-A72E-791FDB11403C}" name="CANTIDAD TOTAL ESTIMADA"/>
    <tableColumn id="5" xr3:uid="{4AE11152-3719-4564-AB92-07DA43267DAF}" name="PRECIO UNITARIO ESTIMADO"/>
    <tableColumn id="6" xr3:uid="{A23CE2C5-564B-4824-A429-6BA0B1704511}" name="MONTO TOTAL ESTIMADO">
      <calculatedColumnFormula>INDIRECT(ADDRESS(ROW(),COLUMN()-2,4))*INDIRECT(ADDRESS(ROW(),COLUMN()-1,4))</calculatedColumnFormula>
    </tableColumn>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D70D4CF-1FEE-4083-9473-AB671131466E}" name="Table28" displayName="Table28" ref="A321:F330" totalsRowShown="0">
  <tableColumns count="6">
    <tableColumn id="1" xr3:uid="{F0F38ED7-1183-4381-BECF-3A3812D27F27}" name="CÓDIGO CATÁLOGO"/>
    <tableColumn id="2" xr3:uid="{E72E4ED2-F5B8-48BA-A4C9-32C7CBD077F0}" name="ARTÍCULO"/>
    <tableColumn id="3" xr3:uid="{A3774431-F2E1-4596-959D-0418EC391ABD}" name="UNIDAD DE MEDIDA"/>
    <tableColumn id="4" xr3:uid="{CA9C5938-3314-4FCF-992C-687FAE4F5724}" name="CANTIDAD TOTAL ESTIMADA"/>
    <tableColumn id="5" xr3:uid="{0BFBE3E6-E57D-41D9-A84D-CA9805710666}" name="PRECIO UNITARIO ESTIMADO"/>
    <tableColumn id="6" xr3:uid="{5D8F4906-FA24-4EE6-9F8E-9F614DBCF1AA}" name="MONTO TOTAL ESTIMADO">
      <calculatedColumnFormula>INDIRECT(ADDRESS(ROW(),COLUMN()-2,4))*INDIRECT(ADDRESS(ROW(),COLUMN()-1,4))</calculatedColumnFormula>
    </tableColumn>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EAD6BB7-F308-4A47-965F-0B6E354221D9}" name="Table22" displayName="Table22" ref="A241:F242" totalsRowShown="0">
  <tableColumns count="6">
    <tableColumn id="1" xr3:uid="{5A629730-35BA-41A4-8165-8D2B3C24AF58}" name="CÓDIGO CATÁLOGO"/>
    <tableColumn id="2" xr3:uid="{4CF8BA38-87D6-4D03-99DA-A06C369CEC3F}" name="ARTÍCULO">
      <calculatedColumnFormula>IFERROR(INDEX(UNSPSCDes,MATCH(INDIRECT(ADDRESS(ROW(),COLUMN()-1,4)),UNSPSCCode,0)),IF(INDIRECT(ADDRESS(ROW(),COLUMN()-1,4))="46171619","Sistemas de seguridad o de control de acceso",""))</calculatedColumnFormula>
    </tableColumn>
    <tableColumn id="3" xr3:uid="{2F7AB20A-3351-4E62-81AA-C295ED048C63}" name="UNIDAD DE MEDIDA">
      <calculatedColumnFormula>IFERROR(VLOOKUP("PAQ",'[1]Informacion '!P:Q,2,FALSE),"")</calculatedColumnFormula>
    </tableColumn>
    <tableColumn id="4" xr3:uid="{CE8D89D0-F793-4D4C-99CB-A876AA119A84}" name="CANTIDAD TOTAL ESTIMADA"/>
    <tableColumn id="5" xr3:uid="{3AEC199B-636D-430F-B0B8-01DE762E7C1E}" name="PRECIO UNITARIO ESTIMADO"/>
    <tableColumn id="6" xr3:uid="{8441FF4E-CE3C-4815-BFB5-0CBA18171376}" name="MONTO TOTAL ESTIMADO">
      <calculatedColumnFormula>INDIRECT(ADDRESS(ROW(),COLUMN()-2,4))*INDIRECT(ADDRESS(ROW(),COLUMN()-1,4))</calculatedColumnFormula>
    </tableColumn>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68AC886-1C62-4B15-99D8-D64E1665CB1C}" name="Table16" displayName="Table16" ref="A165:F175" totalsRowShown="0">
  <tableColumns count="6">
    <tableColumn id="1" xr3:uid="{09CCD75B-2449-41FC-A6D1-B65FD05F0DD7}" name="CÓDIGO CATÁLOGO"/>
    <tableColumn id="2" xr3:uid="{3804A306-7251-4CFA-A773-E0194D2031B3}" name="ARTÍCULO"/>
    <tableColumn id="3" xr3:uid="{852C02CB-68F5-4883-8323-05DC2DBD959D}" name="UNIDAD DE MEDIDA"/>
    <tableColumn id="4" xr3:uid="{14873F0C-B202-4BCB-B55A-9F7D8E729685}" name="CANTIDAD TOTAL ESTIMADA"/>
    <tableColumn id="5" xr3:uid="{5D8A8068-1E49-4A81-B2C5-6E15BC547EEF}" name="PRECIO UNITARIO ESTIMADO"/>
    <tableColumn id="6" xr3:uid="{D00CD497-9815-42AA-AE81-7794DBA46EF4}" name="MONTO TOTAL ESTIMADO">
      <calculatedColumnFormula>INDIRECT(ADDRESS(ROW(),COLUMN()-2,4))*INDIRECT(ADDRESS(ROW(),COLUMN()-1,4))</calculatedColumnFormula>
    </tableColumn>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F7C62B8-F4D9-4876-9B2B-677031A1A573}" name="Table58" displayName="Table58" ref="A999:F1005" totalsRowShown="0">
  <tableColumns count="6">
    <tableColumn id="1" xr3:uid="{803D1B65-C66F-4843-83B8-22EDE71A0049}" name="CÓDIGO CATÁLOGO"/>
    <tableColumn id="2" xr3:uid="{3D3A833E-58EC-4AD9-A009-745E5462F35B}" name="ARTÍCULO"/>
    <tableColumn id="3" xr3:uid="{8B6BE727-B509-4EA0-ACBB-528A9E73F705}" name="UNIDAD DE MEDIDA"/>
    <tableColumn id="4" xr3:uid="{DF7D5C85-6781-4F3E-BD85-29881097996E}" name="CANTIDAD TOTAL ESTIMADA"/>
    <tableColumn id="5" xr3:uid="{C961FCAA-B1FB-4727-BC7E-5FEEA8DF73BC}" name="PRECIO UNITARIO ESTIMADO"/>
    <tableColumn id="6" xr3:uid="{8720D8F2-C8D2-4BFC-82B5-CB3CFB30D02D}" name="MONTO TOTAL ESTIMADO">
      <calculatedColumnFormula>INDIRECT(ADDRESS(ROW(),COLUMN()-2,4))*INDIRECT(ADDRESS(ROW(),COLUMN()-1,4))</calculatedColumnFormula>
    </tableColumn>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17A5CADD-3CB0-41AF-963B-349D53C77B81}" name="Table4" displayName="Table4" ref="A22:F23" totalsRowShown="0">
  <tableColumns count="6">
    <tableColumn id="1" xr3:uid="{2F9377E8-58CF-4C45-888A-878E85665C1F}" name="CÓDIGO CATÁLOGO"/>
    <tableColumn id="2" xr3:uid="{3A27A46D-8505-4FD8-9381-983CBA4AE4D1}" name="ARTÍCULO">
      <calculatedColumnFormula>IFERROR(INDEX(UNSPSCDes,MATCH(INDIRECT(ADDRESS(ROW(),COLUMN()-1,4)),UNSPSCCode,0)),IF(INDIRECT(ADDRESS(ROW(),COLUMN()-1,4))="82101601","Publicidad en radio",""))</calculatedColumnFormula>
    </tableColumn>
    <tableColumn id="3" xr3:uid="{4D3A7B8C-AB8D-431A-B301-B534AD0199A9}" name="UNIDAD DE MEDIDA">
      <calculatedColumnFormula>IFERROR(VLOOKUP("PAQ",'[1]Informacion '!P:Q,2,FALSE),"")</calculatedColumnFormula>
    </tableColumn>
    <tableColumn id="4" xr3:uid="{5F2337B4-8201-4077-8EC7-E519F00E1830}" name="CANTIDAD TOTAL ESTIMADA"/>
    <tableColumn id="5" xr3:uid="{3AFBFCBC-2D5F-4F60-9CD5-951C0FAD35E9}" name="PRECIO UNITARIO ESTIMADO"/>
    <tableColumn id="6" xr3:uid="{D4FE2187-A546-48B6-A0B6-16FF48C491AD}" name="MONTO TOTAL ESTIMADO">
      <calculatedColumnFormula>INDIRECT(ADDRESS(ROW(),COLUMN()-2,4))*INDIRECT(ADDRESS(ROW(),COLUMN()-1,4))</calculatedColumnFormula>
    </tableColumn>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724E731B-EFBB-4038-A128-BC0FAEFF1382}" name="Table40" displayName="Table40" ref="A488:F492" totalsRowShown="0">
  <tableColumns count="6">
    <tableColumn id="1" xr3:uid="{EBEBFB67-871F-490A-9F6A-F5532D7CCDF1}" name="CÓDIGO CATÁLOGO"/>
    <tableColumn id="2" xr3:uid="{4C6A43B4-2900-4C0B-8BEC-1EFC58BACDB0}" name="ARTÍCULO"/>
    <tableColumn id="3" xr3:uid="{4929A24F-D400-41C0-8C4E-AC39F2064475}" name="UNIDAD DE MEDIDA"/>
    <tableColumn id="4" xr3:uid="{4399F136-297B-41AC-9F1C-F4F49A809AE0}" name="CANTIDAD TOTAL ESTIMADA"/>
    <tableColumn id="5" xr3:uid="{DB8134CF-1011-4CA6-9A08-6E9E60EA750A}" name="PRECIO UNITARIO ESTIMADO"/>
    <tableColumn id="6" xr3:uid="{1ABEE616-2AF2-43A3-A04B-A6467BB9FB46}" name="MONTO TOTAL ESTIMADO">
      <calculatedColumnFormula>INDIRECT(ADDRESS(ROW(),COLUMN()-2,4))*INDIRECT(ADDRESS(ROW(),COLUMN()-1,4))</calculatedColumnFormula>
    </tableColumn>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7EEF804-9F27-46FC-A987-DF025437EAEC}" name="Table59" displayName="Table59" ref="A1015:F1016" totalsRowShown="0">
  <tableColumns count="6">
    <tableColumn id="1" xr3:uid="{73149B0F-01B4-4D84-BA93-9EE6A923C169}" name="CÓDIGO CATÁLOGO"/>
    <tableColumn id="2" xr3:uid="{72ADB3CD-204B-4147-90F8-618E11403D95}" name="ARTÍCULO">
      <calculatedColumnFormula>IFERROR(INDEX(UNSPSCDes,MATCH(INDIRECT(ADDRESS(ROW(),COLUMN()-1,4)),UNSPSCCode,0)),IF(INDIRECT(ADDRESS(ROW(),COLUMN()-1,4))="43232604","Software de diseño asistido de computador cad",""))</calculatedColumnFormula>
    </tableColumn>
    <tableColumn id="3" xr3:uid="{0D0DCF98-E987-477C-B715-186E87E3F3B8}" name="UNIDAD DE MEDIDA">
      <calculatedColumnFormula>IFERROR(VLOOKUP("UD",'[1]Informacion '!P:Q,2,FALSE),"")</calculatedColumnFormula>
    </tableColumn>
    <tableColumn id="4" xr3:uid="{EF2B2E49-2212-4C81-8025-B1B5E00CED5E}" name="CANTIDAD TOTAL ESTIMADA"/>
    <tableColumn id="5" xr3:uid="{46CBEFC5-6DCF-4DB6-86A6-7C186609CA72}" name="PRECIO UNITARIO ESTIMADO"/>
    <tableColumn id="6" xr3:uid="{77F7493F-60C0-4755-94C9-FC8760502B50}" name="MONTO TOTAL ESTIMADO">
      <calculatedColumnFormula>INDIRECT(ADDRESS(ROW(),COLUMN()-2,4))*INDIRECT(ADDRESS(ROW(),COLUMN()-1,4))</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2A40AA-9C55-451F-845A-62D0101717F2}" name="Table56" displayName="Table56" ref="A964:F978" totalsRowShown="0">
  <tableColumns count="6">
    <tableColumn id="1" xr3:uid="{BFBED5BD-9AA2-431A-9A0D-C7E41DE8CC10}" name="CÓDIGO CATÁLOGO"/>
    <tableColumn id="2" xr3:uid="{C245FB9F-6CE9-4F84-87FC-CF80E382D878}" name="ARTÍCULO"/>
    <tableColumn id="3" xr3:uid="{81C16873-FAD9-4121-A550-4AA667D046D1}" name="UNIDAD DE MEDIDA"/>
    <tableColumn id="4" xr3:uid="{41A24C36-9B2A-4F41-A19D-B93B565A48CB}" name="CANTIDAD TOTAL ESTIMADA"/>
    <tableColumn id="5" xr3:uid="{531E6F69-7A23-4BBF-9F27-2AA556B3C6DA}" name="PRECIO UNITARIO ESTIMADO"/>
    <tableColumn id="6" xr3:uid="{032ACD6B-029D-432C-966E-8A27813BFEB5}" name="MONTO TOTAL ESTIMADO">
      <calculatedColumnFormula>INDIRECT(ADDRESS(ROW(),COLUMN()-2,4))*INDIRECT(ADDRESS(ROW(),COLUMN()-1,4))</calculatedColumnFormula>
    </tableColumn>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0EF5478-C6B0-4375-ADA8-B018C09C5B7D}" name="Table18" displayName="Table18" ref="A196:F197" totalsRowShown="0">
  <tableColumns count="6">
    <tableColumn id="1" xr3:uid="{BF0D4C3B-B4A1-4DCA-93EA-C07DC875FF5D}" name="CÓDIGO CATÁLOGO"/>
    <tableColumn id="2" xr3:uid="{9A4202D6-59A4-4F8E-B628-C8C0B3070962}" name="ARTÍCULO">
      <calculatedColumnFormula>IFERROR(INDEX(UNSPSCDes,MATCH(INDIRECT(ADDRESS(ROW(),COLUMN()-1,4)),UNSPSCCode,0)),IF(INDIRECT(ADDRESS(ROW(),COLUMN()-1,4))="81111812","Servicio de mantenimiento o soporte del hardware del computador",""))</calculatedColumnFormula>
    </tableColumn>
    <tableColumn id="3" xr3:uid="{AF993309-9ACC-4C47-B029-5311FBCD431E}" name="UNIDAD DE MEDIDA">
      <calculatedColumnFormula>IFERROR(VLOOKUP("PAQ",'[1]Informacion '!P:Q,2,FALSE),"")</calculatedColumnFormula>
    </tableColumn>
    <tableColumn id="4" xr3:uid="{C38574F7-8C61-499D-9386-1695E2E10375}" name="CANTIDAD TOTAL ESTIMADA"/>
    <tableColumn id="5" xr3:uid="{42C8D378-FDC1-4CA3-ADFA-B292E6F14472}" name="PRECIO UNITARIO ESTIMADO"/>
    <tableColumn id="6" xr3:uid="{D5D50742-93AE-471D-B632-4939BCEC553A}" name="MONTO TOTAL ESTIMADO">
      <calculatedColumnFormula>INDIRECT(ADDRESS(ROW(),COLUMN()-2,4))*INDIRECT(ADDRESS(ROW(),COLUMN()-1,4))</calculatedColumnFormula>
    </tableColumn>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D595F770-235A-4FE7-8116-B6AD2173E1E1}" name="Table29" displayName="Table29" ref="A340:F347" totalsRowShown="0">
  <tableColumns count="6">
    <tableColumn id="1" xr3:uid="{B24CD3FB-3077-4A3A-BDFB-74D7A22C7C44}" name="CÓDIGO CATÁLOGO"/>
    <tableColumn id="2" xr3:uid="{8A7648B9-68BF-45A9-B8ED-872C4E57A036}" name="ARTÍCULO"/>
    <tableColumn id="3" xr3:uid="{E7BCC98C-EC60-4FE2-BA41-7792B8291F51}" name="UNIDAD DE MEDIDA"/>
    <tableColumn id="4" xr3:uid="{9695D3BA-2F69-4F71-8D91-1CEE35660CCD}" name="CANTIDAD TOTAL ESTIMADA"/>
    <tableColumn id="5" xr3:uid="{B3F6C9C8-E00C-4CEA-8C90-0BDFE85E60C7}" name="PRECIO UNITARIO ESTIMADO"/>
    <tableColumn id="6" xr3:uid="{D25CE71F-B3A9-4AA7-9774-C287E9C78309}" name="MONTO TOTAL ESTIMADO">
      <calculatedColumnFormula>INDIRECT(ADDRESS(ROW(),COLUMN()-2,4))*INDIRECT(ADDRESS(ROW(),COLUMN()-1,4))</calculatedColumnFormula>
    </tableColumn>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8F8EAD5-CB30-4730-B96F-44EE55F195BD}" name="Table32" displayName="Table32" ref="A385:F390" totalsRowShown="0">
  <tableColumns count="6">
    <tableColumn id="1" xr3:uid="{F2F5EFE6-4499-4E15-9EC8-5236B7A95248}" name="CÓDIGO CATÁLOGO"/>
    <tableColumn id="2" xr3:uid="{55134508-CD3C-4468-8723-D51881B02F09}" name="ARTÍCULO">
      <calculatedColumnFormula>IFERROR(INDEX(UNSPSCDes,MATCH(INDIRECT(ADDRESS(ROW(),COLUMN()-1,4)),UNSPSCCode,0)),IF(INDIRECT(ADDRESS(ROW(),COLUMN()-1,4))="14111514","Blocs o cuadernos de papel",""))</calculatedColumnFormula>
    </tableColumn>
    <tableColumn id="3" xr3:uid="{D1B55BB8-5F4E-4298-97A9-094175BDC27D}" name="UNIDAD DE MEDIDA"/>
    <tableColumn id="4" xr3:uid="{3EEFD81C-0296-4BAC-9464-B0851C8EEB17}" name="CANTIDAD TOTAL ESTIMADA"/>
    <tableColumn id="5" xr3:uid="{37406E67-A646-4765-A06C-93D6F83E365B}" name="PRECIO UNITARIO ESTIMADO"/>
    <tableColumn id="6" xr3:uid="{EEEC02D3-FA80-4AD7-BC88-552CF8089B85}" name="MONTO TOTAL ESTIMADO">
      <calculatedColumnFormula>INDIRECT(ADDRESS(ROW(),COLUMN()-2,4))*INDIRECT(ADDRESS(ROW(),COLUMN()-1,4))</calculatedColumnFormula>
    </tableColumn>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6E3C6C7-74D6-4525-B2AD-57833176AB7D}" name="Table36" displayName="Table36" ref="A435:F439" totalsRowShown="0">
  <tableColumns count="6">
    <tableColumn id="1" xr3:uid="{6C0469A2-0AE6-4805-99F4-220E9C5AB6A9}" name="CÓDIGO CATÁLOGO"/>
    <tableColumn id="2" xr3:uid="{C0990C3A-06EE-4A7F-A980-413329F1A304}" name="ARTÍCULO"/>
    <tableColumn id="3" xr3:uid="{8411B6D6-C9F8-4AC6-8BF1-C8D8D246F7AA}" name="UNIDAD DE MEDIDA"/>
    <tableColumn id="4" xr3:uid="{E574E697-7ADF-4950-80DF-03DAD9B132F2}" name="CANTIDAD TOTAL ESTIMADA"/>
    <tableColumn id="5" xr3:uid="{B8B95487-A3C6-45C3-9A83-7C85D9CA2C00}" name="PRECIO UNITARIO ESTIMADO"/>
    <tableColumn id="6" xr3:uid="{47FC2D26-6BCF-4BDC-BD0D-F9CC7241F6B8}" name="MONTO TOTAL ESTIMADO">
      <calculatedColumnFormula>INDIRECT(ADDRESS(ROW(),COLUMN()-2,4))*INDIRECT(ADDRESS(ROW(),COLUMN()-1,4))</calculatedColumnFormula>
    </tableColumn>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B4D0B82-E486-4099-A7AE-2A3ED2335AD8}" name="Table49" displayName="Table49" ref="A777:F790" totalsRowShown="0">
  <tableColumns count="6">
    <tableColumn id="1" xr3:uid="{F61B8A92-C0B9-4410-AAA1-4D6ACF24897E}" name="CÓDIGO CATÁLOGO"/>
    <tableColumn id="2" xr3:uid="{687418AC-CFE9-474C-AAB1-E693CEBFA199}" name="ARTÍCULO"/>
    <tableColumn id="3" xr3:uid="{FA31E22B-7DE1-4858-B7A2-263DFEDB9042}" name="UNIDAD DE MEDIDA"/>
    <tableColumn id="4" xr3:uid="{9CA94E58-D0E3-419A-8115-C87A73B70510}" name="CANTIDAD TOTAL ESTIMADA"/>
    <tableColumn id="5" xr3:uid="{A83DC052-0CFE-43B2-900B-FBF25B369C56}" name="PRECIO UNITARIO ESTIMADO"/>
    <tableColumn id="6" xr3:uid="{898442B8-9E22-4492-AAFB-70139A1E4D06}" name="MONTO TOTAL ESTIMADO">
      <calculatedColumnFormula>INDIRECT(ADDRESS(ROW(),COLUMN()-2,4))*INDIRECT(ADDRESS(ROW(),COLUMN()-1,4))</calculatedColumnFormula>
    </tableColumn>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45E3662-3600-4D0E-9A87-810F63DDC537}" name="Table7" displayName="Table7" ref="A57:F58" totalsRowShown="0">
  <tableColumns count="6">
    <tableColumn id="1" xr3:uid="{93E35CE8-B4C7-4EC2-B31B-D41954AC078E}" name="CÓDIGO CATÁLOGO"/>
    <tableColumn id="2" xr3:uid="{1ED6C512-820D-4238-919E-8DBD45836E68}" name="ARTÍCULO">
      <calculatedColumnFormula>IFERROR(INDEX(UNSPSCDes,MATCH(INDIRECT(ADDRESS(ROW(),COLUMN()-1,4)),UNSPSCCode,0)),IF(INDIRECT(ADDRESS(ROW(),COLUMN()-1,4))="82121508","Impresión de envolturas, etiquetas, sellos o bolsas",""))</calculatedColumnFormula>
    </tableColumn>
    <tableColumn id="3" xr3:uid="{6FA07E6A-2DCE-47C8-9BF9-04C3974459EB}" name="UNIDAD DE MEDIDA">
      <calculatedColumnFormula>IFERROR(VLOOKUP("UD",'[1]Informacion '!P:Q,2,FALSE),"")</calculatedColumnFormula>
    </tableColumn>
    <tableColumn id="4" xr3:uid="{445CFE0C-F9C1-4666-8688-393447B9CBE1}" name="CANTIDAD TOTAL ESTIMADA"/>
    <tableColumn id="5" xr3:uid="{4A4540DE-48ED-44C9-98D5-1A6612BBEF5B}" name="PRECIO UNITARIO ESTIMADO"/>
    <tableColumn id="6" xr3:uid="{94E0D5F6-4298-4F9F-AFEC-B570CB02BB65}" name="MONTO TOTAL ESTIMADO">
      <calculatedColumnFormula>INDIRECT(ADDRESS(ROW(),COLUMN()-2,4))*INDIRECT(ADDRESS(ROW(),COLUMN()-1,4))</calculatedColumnFormula>
    </tableColumn>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B27E961C-1F4B-44EE-85FA-DAF5A9C10825}" name="Table6" displayName="Table6" ref="A44:F47" totalsRowShown="0">
  <tableColumns count="6">
    <tableColumn id="1" xr3:uid="{53FB6438-B065-4AEE-A2E5-2AEFAFB7BF3A}" name="CÓDIGO CATÁLOGO"/>
    <tableColumn id="2" xr3:uid="{B628C7C7-CA6D-45A7-83A6-DA35B4F9B07C}" name="ARTÍCULO"/>
    <tableColumn id="3" xr3:uid="{5B7BD9C9-FEBE-4E94-B608-CC4221B587BA}" name="UNIDAD DE MEDIDA">
      <calculatedColumnFormula>IFERROR(VLOOKUP("UD",'[1]Informacion '!P:Q,2,FALSE),"")</calculatedColumnFormula>
    </tableColumn>
    <tableColumn id="4" xr3:uid="{99A9A959-DD59-4332-845C-AF0DD2718643}" name="CANTIDAD TOTAL ESTIMADA"/>
    <tableColumn id="5" xr3:uid="{8FF310F8-EFA9-48BA-BAD4-98CF99F81F05}" name="PRECIO UNITARIO ESTIMADO"/>
    <tableColumn id="6" xr3:uid="{07FAE3E9-AA08-4391-8D10-D8541846E8D5}" name="MONTO TOTAL ESTIMADO">
      <calculatedColumnFormula>INDIRECT(ADDRESS(ROW(),COLUMN()-2,4))*INDIRECT(ADDRESS(ROW(),COLUMN()-1,4))</calculatedColumnFormula>
    </tableColumn>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694A549C-4340-456D-A401-FE229C185C93}" name="Table8" displayName="Table8" ref="A68:F69" totalsRowShown="0">
  <tableColumns count="6">
    <tableColumn id="1" xr3:uid="{9E868B8F-93BC-4417-A787-96B3F3E2AC5C}" name="CÓDIGO CATÁLOGO"/>
    <tableColumn id="2" xr3:uid="{ADA4B5BF-2375-4671-86C3-06B6EF00DF05}" name="ARTÍCULO">
      <calculatedColumnFormula>IFERROR(INDEX(UNSPSCDes,MATCH(INDIRECT(ADDRESS(ROW(),COLUMN()-1,4)),UNSPSCCode,0)),IF(INDIRECT(ADDRESS(ROW(),COLUMN()-1,4))="43231512","Software de manejo de licencias",""))</calculatedColumnFormula>
    </tableColumn>
    <tableColumn id="3" xr3:uid="{BAC1A4B1-BF48-457C-9090-31B2BDF0B9A4}" name="UNIDAD DE MEDIDA">
      <calculatedColumnFormula>IFERROR(VLOOKUP("UD",'[1]Informacion '!P:Q,2,FALSE),"")</calculatedColumnFormula>
    </tableColumn>
    <tableColumn id="4" xr3:uid="{C5BE3472-24C1-4B42-B51C-67167DE55446}" name="CANTIDAD TOTAL ESTIMADA"/>
    <tableColumn id="5" xr3:uid="{F6A9C035-4B7F-4CB2-8EB2-5E4A941B5392}" name="PRECIO UNITARIO ESTIMADO"/>
    <tableColumn id="6" xr3:uid="{5090F5EA-6B0D-4839-89D9-171788E801BA}" name="MONTO TOTAL ESTIMADO">
      <calculatedColumnFormula>INDIRECT(ADDRESS(ROW(),COLUMN()-2,4))*INDIRECT(ADDRESS(ROW(),COLUMN()-1,4))</calculatedColumnFormula>
    </tableColumn>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56FFF943-F46E-4FD2-BC4A-88DD34A42B40}" name="Table23" displayName="Table23" ref="A252:F254" totalsRowShown="0">
  <tableColumns count="6">
    <tableColumn id="1" xr3:uid="{70C69704-7006-459A-905B-7496A4BF12A4}" name="CÓDIGO CATÁLOGO"/>
    <tableColumn id="2" xr3:uid="{6E7D7BE6-ADA6-47F0-9AAD-29E221D5ACC0}" name="ARTÍCULO"/>
    <tableColumn id="3" xr3:uid="{0D23798F-FCDE-4B4F-B9D5-1208793E7146}" name="UNIDAD DE MEDIDA">
      <calculatedColumnFormula>IFERROR(VLOOKUP("PAQ",'[1]Informacion '!P:Q,2,FALSE),"")</calculatedColumnFormula>
    </tableColumn>
    <tableColumn id="4" xr3:uid="{CB225715-E10A-481D-8161-20521FD49B7F}" name="CANTIDAD TOTAL ESTIMADA"/>
    <tableColumn id="5" xr3:uid="{B009D1EB-FD2D-456E-BD41-DD152CFA7A52}" name="PRECIO UNITARIO ESTIMADO"/>
    <tableColumn id="6" xr3:uid="{A053A278-B36E-40FB-99ED-00A3BAC121B0}" name="MONTO TOTAL ESTIMADO">
      <calculatedColumnFormula>INDIRECT(ADDRESS(ROW(),COLUMN()-2,4))*INDIRECT(ADDRESS(ROW(),COLUMN()-1,4))</calculatedColumnFormula>
    </tableColumn>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53BB8B65-B639-4DE8-8022-22D6C91F1BE0}" name="Table60" displayName="Table60" ref="A1026:F1027" totalsRowShown="0">
  <tableColumns count="6">
    <tableColumn id="1" xr3:uid="{798B0682-701F-45DB-9033-3392B212EA58}" name="CÓDIGO CATÁLOGO"/>
    <tableColumn id="2" xr3:uid="{51BA7F60-0257-43D4-B7A7-2902CB18F62F}" name="ARTÍCULO">
      <calculatedColumnFormula>IFERROR(INDEX(UNSPSCDes,MATCH(INDIRECT(ADDRESS(ROW(),COLUMN()-1,4)),UNSPSCCode,0)),IF(INDIRECT(ADDRESS(ROW(),COLUMN()-1,4))="43231601","Software de contabilidad",""))</calculatedColumnFormula>
    </tableColumn>
    <tableColumn id="3" xr3:uid="{7DBDA34E-4C3F-43C0-A730-F5F13D65B645}" name="UNIDAD DE MEDIDA">
      <calculatedColumnFormula>IFERROR(VLOOKUP("PAQ",'[1]Informacion '!P:Q,2,FALSE),"")</calculatedColumnFormula>
    </tableColumn>
    <tableColumn id="4" xr3:uid="{FE0863A3-6ACB-4D76-BB07-8A42382861AA}" name="CANTIDAD TOTAL ESTIMADA"/>
    <tableColumn id="5" xr3:uid="{04121EB3-3096-4660-AB7D-BBDC242AF476}" name="PRECIO UNITARIO ESTIMADO"/>
    <tableColumn id="6" xr3:uid="{6EECA1B0-F368-4BEC-9B22-0E7C4DD6351A}" name="MONTO TOTAL ESTIMADO">
      <calculatedColumnFormula>INDIRECT(ADDRESS(ROW(),COLUMN()-2,4))*INDIRECT(ADDRESS(ROW(),COLUMN()-1,4))</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3E4B7B8-F29C-4F29-AC0A-8DED57DCBDE8}" name="Table39" displayName="Table39" ref="A475:F478" totalsRowShown="0">
  <tableColumns count="6">
    <tableColumn id="1" xr3:uid="{BB1796C5-EFC3-4FC1-9DDB-6F026B773524}" name="CÓDIGO CATÁLOGO"/>
    <tableColumn id="2" xr3:uid="{15DA5BBC-C2C2-4F2D-A854-62FD041C508C}" name="ARTÍCULO"/>
    <tableColumn id="3" xr3:uid="{67B0D767-900C-4B15-9E73-1FA330CC6758}" name="UNIDAD DE MEDIDA"/>
    <tableColumn id="4" xr3:uid="{B1662605-505F-4BF8-BEDF-2992DB3A3967}" name="CANTIDAD TOTAL ESTIMADA"/>
    <tableColumn id="5" xr3:uid="{C2AD49BC-4CF1-4C1E-B511-606BF4FF9C55}" name="PRECIO UNITARIO ESTIMADO"/>
    <tableColumn id="6" xr3:uid="{82AED0E6-6F3B-4355-B8DE-FC335100F4B8}" name="MONTO TOTAL ESTIMADO">
      <calculatedColumnFormula>INDIRECT(ADDRESS(ROW(),COLUMN()-2,4))*INDIRECT(ADDRESS(ROW(),COLUMN()-1,4))</calculatedColumnFormula>
    </tableColumn>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229D7053-430B-4AF2-9259-BD7760FF984B}" name="Table15" displayName="Table15" ref="A145:F155" totalsRowShown="0">
  <tableColumns count="6">
    <tableColumn id="1" xr3:uid="{E28DBC24-B012-41CB-A5A0-B25359E62CE9}" name="CÓDIGO CATÁLOGO"/>
    <tableColumn id="2" xr3:uid="{C1B04CC9-425B-4581-AC96-082DBD9583EF}" name="ARTÍCULO"/>
    <tableColumn id="3" xr3:uid="{66BB9395-647F-471E-B0B8-C12106D6DF2D}" name="UNIDAD DE MEDIDA"/>
    <tableColumn id="4" xr3:uid="{4E1626C7-7036-4202-9CD8-E32CBE4E38C0}" name="CANTIDAD TOTAL ESTIMADA"/>
    <tableColumn id="5" xr3:uid="{90B62D2F-0597-4873-945C-346B37E159B9}" name="PRECIO UNITARIO ESTIMADO"/>
    <tableColumn id="6" xr3:uid="{48FB60C6-E24C-4993-91F1-6EDBBEBE6CE3}" name="MONTO TOTAL ESTIMADO">
      <calculatedColumnFormula>INDIRECT(ADDRESS(ROW(),COLUMN()-2,4))*INDIRECT(ADDRESS(ROW(),COLUMN()-1,4))</calculatedColumnFormula>
    </tableColumn>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A3DC17C4-6D04-4FCB-AEF1-2DAE0420785B}" name="Table13" displayName="Table13" ref="A123:F124" totalsRowShown="0">
  <tableColumns count="6">
    <tableColumn id="1" xr3:uid="{3D2B6212-5985-4BE4-BE45-B69DB175705B}" name="CÓDIGO CATÁLOGO"/>
    <tableColumn id="2" xr3:uid="{34F6D8DF-C157-4087-896E-335B3F4A2887}" name="ARTÍCULO">
      <calculatedColumnFormula>IFERROR(INDEX(UNSPSCDes,MATCH(INDIRECT(ADDRESS(ROW(),COLUMN()-1,4)),UNSPSCCode,0)),IF(INDIRECT(ADDRESS(ROW(),COLUMN()-1,4))="90101604","Servicios de cáterin en la obra o lugar de trabajo",""))</calculatedColumnFormula>
    </tableColumn>
    <tableColumn id="3" xr3:uid="{2CEEC7A2-98D1-4857-B6A0-2C06413AEA23}" name="UNIDAD DE MEDIDA">
      <calculatedColumnFormula>IFERROR(VLOOKUP("UD",'[1]Informacion '!P:Q,2,FALSE),"")</calculatedColumnFormula>
    </tableColumn>
    <tableColumn id="4" xr3:uid="{BEBAB8AA-1784-4947-9BF3-3D9D1E96F499}" name="CANTIDAD TOTAL ESTIMADA"/>
    <tableColumn id="5" xr3:uid="{76F4A982-6168-4DF0-B4FB-920F4B42CCD4}" name="PRECIO UNITARIO ESTIMADO"/>
    <tableColumn id="6" xr3:uid="{6A9B3330-9BBE-4C77-A915-122E7548930E}" name="MONTO TOTAL ESTIMADO">
      <calculatedColumnFormula>INDIRECT(ADDRESS(ROW(),COLUMN()-2,4))*INDIRECT(ADDRESS(ROW(),COLUMN()-1,4))</calculatedColumnFormula>
    </tableColumn>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3BEEDC72-5610-4C77-914C-6B415BE893AD}" name="Table12" displayName="Table12" ref="A112:F113" totalsRowShown="0">
  <tableColumns count="6">
    <tableColumn id="1" xr3:uid="{3B177F48-325E-4396-BA32-87CF96D43F43}" name="CÓDIGO CATÁLOGO"/>
    <tableColumn id="2" xr3:uid="{A4F2134E-6FDE-4CBF-A96B-A478E9B41448}" name="ARTÍCULO">
      <calculatedColumnFormula>IFERROR(INDEX(UNSPSCDes,MATCH(INDIRECT(ADDRESS(ROW(),COLUMN()-1,4)),UNSPSCCode,0)),IF(INDIRECT(ADDRESS(ROW(),COLUMN()-1,4))="81151604","Agrimensura",""))</calculatedColumnFormula>
    </tableColumn>
    <tableColumn id="3" xr3:uid="{016BF8F6-F53F-48B9-8A5D-7903ABD50028}" name="UNIDAD DE MEDIDA">
      <calculatedColumnFormula>IFERROR(VLOOKUP("UD",'[1]Informacion '!P:Q,2,FALSE),"")</calculatedColumnFormula>
    </tableColumn>
    <tableColumn id="4" xr3:uid="{975DA76B-004E-4DEA-B3A9-5A1CA21EA40C}" name="CANTIDAD TOTAL ESTIMADA"/>
    <tableColumn id="5" xr3:uid="{B591DD2A-A5C3-4C00-AE33-8B311714530E}" name="PRECIO UNITARIO ESTIMADO"/>
    <tableColumn id="6" xr3:uid="{9DE18C9D-E42B-4A08-840A-B743874C5276}" name="MONTO TOTAL ESTIMADO">
      <calculatedColumnFormula>INDIRECT(ADDRESS(ROW(),COLUMN()-2,4))*INDIRECT(ADDRESS(ROW(),COLUMN()-1,4))</calculatedColumnFormula>
    </tableColumn>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21D9FB69-A4FA-47A3-98FE-F9E140FE35AB}" name="Table55" displayName="Table55" ref="A944:F954" totalsRowShown="0">
  <tableColumns count="6">
    <tableColumn id="1" xr3:uid="{995699E6-A7E9-4A65-BF6E-49BC85E7D570}" name="CÓDIGO CATÁLOGO"/>
    <tableColumn id="2" xr3:uid="{B287EBC3-E653-4706-8082-D2C2152DC5AC}" name="ARTÍCULO"/>
    <tableColumn id="3" xr3:uid="{9C93B271-C70E-4A39-9360-B02C04206D20}" name="UNIDAD DE MEDIDA">
      <calculatedColumnFormula>IFERROR(VLOOKUP("UD",'[1]Informacion '!P:Q,2,FALSE),"")</calculatedColumnFormula>
    </tableColumn>
    <tableColumn id="4" xr3:uid="{1C64C007-0F6F-4591-BD90-3B8A70751BA8}" name="CANTIDAD TOTAL ESTIMADA"/>
    <tableColumn id="5" xr3:uid="{0816039B-E67B-42AD-81CB-BE14FF5B80FA}" name="PRECIO UNITARIO ESTIMADO"/>
    <tableColumn id="6" xr3:uid="{FC814156-C115-4066-A52B-FA545D79EC2C}" name="MONTO TOTAL ESTIMADO">
      <calculatedColumnFormula>INDIRECT(ADDRESS(ROW(),COLUMN()-2,4))*INDIRECT(ADDRESS(ROW(),COLUMN()-1,4))</calculatedColumnFormula>
    </tableColumn>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A5CD0E9A-2EFF-4A51-AFA7-2B9432ECA31D}" name="Table30" displayName="Table30" ref="A357:F361" totalsRowShown="0">
  <tableColumns count="6">
    <tableColumn id="1" xr3:uid="{4C8A0B42-0F2F-4B7B-B7B4-DEC37C330278}" name="CÓDIGO CATÁLOGO"/>
    <tableColumn id="2" xr3:uid="{5140E41E-3850-41FE-A776-DF91999D4802}" name="ARTÍCULO"/>
    <tableColumn id="3" xr3:uid="{14AABBD6-55A5-4D65-9E17-94757529774A}" name="UNIDAD DE MEDIDA"/>
    <tableColumn id="4" xr3:uid="{D786BE25-2FD8-4473-B6DE-DD4ADF43984D}" name="CANTIDAD TOTAL ESTIMADA"/>
    <tableColumn id="5" xr3:uid="{47C7553B-4E84-4E28-994F-C0C1B371D50A}" name="PRECIO UNITARIO ESTIMADO"/>
    <tableColumn id="6" xr3:uid="{BBBC79BE-4DDC-41E1-AC7E-ECA348DFC44D}" name="MONTO TOTAL ESTIMADO">
      <calculatedColumnFormula>INDIRECT(ADDRESS(ROW(),COLUMN()-2,4))*INDIRECT(ADDRESS(ROW(),COLUMN()-1,4))</calculatedColumnFormula>
    </tableColumn>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53E05ECB-9BA5-4D81-9ABF-62663916447F}" name="Table57" displayName="Table57" ref="A988:F989" totalsRowShown="0">
  <tableColumns count="6">
    <tableColumn id="1" xr3:uid="{4DDAFD9C-B9C9-47EB-ADD4-9CA94BEA9220}" name="CÓDIGO CATÁLOGO"/>
    <tableColumn id="2" xr3:uid="{6A0179A1-7EF1-4733-AB28-E3E21258EC2C}" name="ARTÍCULO">
      <calculatedColumnFormula>IFERROR(INDEX(UNSPSCDes,MATCH(INDIRECT(ADDRESS(ROW(),COLUMN()-1,4)),UNSPSCCode,0)),IF(INDIRECT(ADDRESS(ROW(),COLUMN()-1,4))="60104907","Generadores portátiles",""))</calculatedColumnFormula>
    </tableColumn>
    <tableColumn id="3" xr3:uid="{7AD41091-4579-4555-99C2-9C3D706A1E79}" name="UNIDAD DE MEDIDA">
      <calculatedColumnFormula>IFERROR(VLOOKUP("UD",'[1]Informacion '!P:Q,2,FALSE),"")</calculatedColumnFormula>
    </tableColumn>
    <tableColumn id="4" xr3:uid="{C8C65FBD-91C2-41FD-BB17-C099100A923B}" name="CANTIDAD TOTAL ESTIMADA"/>
    <tableColumn id="5" xr3:uid="{E59C3771-9E29-4A5F-ABB7-27174B09510D}" name="PRECIO UNITARIO ESTIMADO"/>
    <tableColumn id="6" xr3:uid="{A00FFD7C-B6DA-49E4-89BA-642EC19033E0}" name="MONTO TOTAL ESTIMADO">
      <calculatedColumnFormula>INDIRECT(ADDRESS(ROW(),COLUMN()-2,4))*INDIRECT(ADDRESS(ROW(),COLUMN()-1,4))</calculatedColumnFormula>
    </tableColumn>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7C506977-6D72-45DA-9B04-D3146BF881B8}" name="Table47" displayName="Table47" ref="A709:F733" totalsRowShown="0">
  <tableColumns count="6">
    <tableColumn id="1" xr3:uid="{8BA4D27C-5767-450C-848E-46BA5DFAD525}" name="CÓDIGO CATÁLOGO"/>
    <tableColumn id="2" xr3:uid="{FDC7284F-266C-4FD9-9B32-2EF08B93E224}" name="ARTÍCULO"/>
    <tableColumn id="3" xr3:uid="{2D1D7400-72F3-4597-8829-4D4FCE6515C6}" name="UNIDAD DE MEDIDA"/>
    <tableColumn id="4" xr3:uid="{88FD51BE-E091-466D-BC9F-0B939433A56E}" name="CANTIDAD TOTAL ESTIMADA"/>
    <tableColumn id="5" xr3:uid="{8431DAE2-CA61-4722-9F39-FA1E1406A955}" name="PRECIO UNITARIO ESTIMADO"/>
    <tableColumn id="6" xr3:uid="{AC1F824D-7FDA-4639-AA43-C29CB77C782A}" name="MONTO TOTAL ESTIMADO">
      <calculatedColumnFormula>INDIRECT(ADDRESS(ROW(),COLUMN()-2,4))*INDIRECT(ADDRESS(ROW(),COLUMN()-1,4))</calculatedColumnFormula>
    </tableColumn>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1BD4A398-F6DD-4E45-8ECF-D722A25491FD}" name="Table48" displayName="Table48" ref="A743:F767" totalsRowShown="0">
  <tableColumns count="6">
    <tableColumn id="1" xr3:uid="{BD31FE92-0120-45C1-98AF-B344C936B82F}" name="CÓDIGO CATÁLOGO"/>
    <tableColumn id="2" xr3:uid="{E8BC064D-4583-4F6A-AF2E-179B3EF58733}" name="ARTÍCULO"/>
    <tableColumn id="3" xr3:uid="{D6120D79-D139-4F19-96EA-98D983C928E9}" name="UNIDAD DE MEDIDA"/>
    <tableColumn id="4" xr3:uid="{35E274AC-6CD7-457F-9A56-18F761285C08}" name="CANTIDAD TOTAL ESTIMADA"/>
    <tableColumn id="5" xr3:uid="{95D8FC57-C7D4-4BCE-9410-C40A83C54D70}" name="PRECIO UNITARIO ESTIMADO"/>
    <tableColumn id="6" xr3:uid="{DE64A26E-247E-401C-8517-99D081577D8D}" name="MONTO TOTAL ESTIMADO">
      <calculatedColumnFormula>INDIRECT(ADDRESS(ROW(),COLUMN()-2,4))*INDIRECT(ADDRESS(ROW(),COLUMN()-1,4))</calculatedColumnFormula>
    </tableColumn>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988C6AD-EC4F-4E23-AAC5-3D58C90C8853}" name="Table10" displayName="Table10" ref="A90:F91" totalsRowShown="0">
  <tableColumns count="6">
    <tableColumn id="1" xr3:uid="{ADA5E421-EBE8-4DB7-A6E2-1645A9DA11BC}" name="CÓDIGO CATÁLOGO"/>
    <tableColumn id="2" xr3:uid="{29FDA72E-1E6F-4715-8927-3031283A089C}" name="ARTÍCULO">
      <calculatedColumnFormula>IFERROR(INDEX(UNSPSCDes,MATCH(INDIRECT(ADDRESS(ROW(),COLUMN()-1,4)),UNSPSCCode,0)),IF(INDIRECT(ADDRESS(ROW(),COLUMN()-1,4))="80141607","Gestión de eventos",""))</calculatedColumnFormula>
    </tableColumn>
    <tableColumn id="3" xr3:uid="{8417FEC6-7DD2-4268-B600-5555186EB8B7}" name="UNIDAD DE MEDIDA">
      <calculatedColumnFormula>IFERROR(VLOOKUP("PAQ",'[1]Informacion '!P:Q,2,FALSE),"")</calculatedColumnFormula>
    </tableColumn>
    <tableColumn id="4" xr3:uid="{6DFE1991-2484-424C-BEFF-87C51675E15A}" name="CANTIDAD TOTAL ESTIMADA"/>
    <tableColumn id="5" xr3:uid="{A3652771-C916-48B3-B2F0-45B8D3DC1926}" name="PRECIO UNITARIO ESTIMADO"/>
    <tableColumn id="6" xr3:uid="{7578E540-03C7-4F34-976F-83C5565154A3}" name="MONTO TOTAL ESTIMADO">
      <calculatedColumnFormula>INDIRECT(ADDRESS(ROW(),COLUMN()-2,4))*INDIRECT(ADDRESS(ROW(),COLUMN()-1,4))</calculatedColumnFormula>
    </tableColumn>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B306B35A-1DDE-4259-9FB4-4732986E1E2F}" name="Table21" displayName="Table21" ref="A230:F231" totalsRowShown="0">
  <tableColumns count="6">
    <tableColumn id="1" xr3:uid="{E41ACA04-9B79-4246-A01D-6C6B3A53EB64}" name="CÓDIGO CATÁLOGO"/>
    <tableColumn id="2" xr3:uid="{80505BDC-250C-4949-A419-D6D218AF8924}" name="ARTÍCULO">
      <calculatedColumnFormula>IFERROR(INDEX(UNSPSCDes,MATCH(INDIRECT(ADDRESS(ROW(),COLUMN()-1,4)),UNSPSCCode,0)),IF(INDIRECT(ADDRESS(ROW(),COLUMN()-1,4))="76111801","Limpieza de carros o barcos",""))</calculatedColumnFormula>
    </tableColumn>
    <tableColumn id="3" xr3:uid="{2082ABF8-4DF8-450C-8348-3CF51004BFB9}" name="UNIDAD DE MEDIDA">
      <calculatedColumnFormula>IFERROR(VLOOKUP("PAQ",'[1]Informacion '!P:Q,2,FALSE),"")</calculatedColumnFormula>
    </tableColumn>
    <tableColumn id="4" xr3:uid="{90D2EBB0-78B5-4A92-B2EB-81BA079311C0}" name="CANTIDAD TOTAL ESTIMADA"/>
    <tableColumn id="5" xr3:uid="{A6362C84-E4B3-4C2C-9F7D-20A8F6DB523D}" name="PRECIO UNITARIO ESTIMADO"/>
    <tableColumn id="6" xr3:uid="{33A0377C-4BD8-4968-8719-E8E77ED04E07}" name="MONTO TOTAL ESTIMADO">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69D4B95-EA03-4EB1-8DAC-00FBC7B09450}" name="Table37" displayName="Table37" ref="A449:F452" totalsRowShown="0">
  <tableColumns count="6">
    <tableColumn id="1" xr3:uid="{8BF10007-4107-45E7-B94B-ED797F167F44}" name="CÓDIGO CATÁLOGO"/>
    <tableColumn id="2" xr3:uid="{C3488231-DCE9-42D9-A09C-30F673665FEB}" name="ARTÍCULO"/>
    <tableColumn id="3" xr3:uid="{D0FB64D9-8DB3-4D7A-9EAD-3AA0CD6E28D7}" name="UNIDAD DE MEDIDA"/>
    <tableColumn id="4" xr3:uid="{D22A3BCC-4CD9-4285-BA98-2D08BFF334E1}" name="CANTIDAD TOTAL ESTIMADA"/>
    <tableColumn id="5" xr3:uid="{7EDE123A-64A2-48A4-94D2-85F56F7E6FCE}" name="PRECIO UNITARIO ESTIMADO"/>
    <tableColumn id="6" xr3:uid="{2AFF377F-B157-421A-B527-31705C179A59}" name="MONTO TOTAL ESTIMADO">
      <calculatedColumnFormula>INDIRECT(ADDRESS(ROW(),COLUMN()-2,4))*INDIRECT(ADDRESS(ROW(),COLUMN()-1,4))</calculatedColumnFormula>
    </tableColumn>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3E67285B-C36D-4E0E-945F-56B5B88A5D1A}" name="Table46" displayName="Table46" ref="A649:F699" totalsRowShown="0">
  <tableColumns count="6">
    <tableColumn id="1" xr3:uid="{7A83102E-D87D-4C4C-AD57-F94E417817D6}" name="CÓDIGO CATÁLOGO"/>
    <tableColumn id="2" xr3:uid="{C0BD0F2B-D0F4-4CDA-89B4-8FCD0433EB35}" name="ARTÍCULO"/>
    <tableColumn id="3" xr3:uid="{F5120B46-FB53-4ACE-85FF-F08151ABBCE0}" name="UNIDAD DE MEDIDA"/>
    <tableColumn id="4" xr3:uid="{90FC3507-2413-434E-8119-58C11C2CB45A}" name="CANTIDAD TOTAL ESTIMADA"/>
    <tableColumn id="5" xr3:uid="{D56D01E4-0942-4289-A71C-E449FE47928A}" name="PRECIO UNITARIO ESTIMADO"/>
    <tableColumn id="6" xr3:uid="{C3A3DB13-3329-4777-ABBF-58D928B5325B}" name="MONTO TOTAL ESTIMADO">
      <calculatedColumnFormula>INDIRECT(ADDRESS(ROW(),COLUMN()-2,4))*INDIRECT(ADDRESS(ROW(),COLUMN()-1,4))</calculatedColumnFormula>
    </tableColumn>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6C6C9C88-DF0D-4C89-AE17-2AEAC44132C6}" name="Table33" displayName="Table33" ref="A400:F401" totalsRowShown="0">
  <tableColumns count="6">
    <tableColumn id="1" xr3:uid="{01EA6335-030F-4633-BDD2-B2229119C804}" name="CÓDIGO CATÁLOGO"/>
    <tableColumn id="2" xr3:uid="{408EC696-03F4-4CAA-B79D-F4FDD96464D6}" name="ARTÍCULO">
      <calculatedColumnFormula>IFERROR(INDEX(UNSPSCDes,MATCH(INDIRECT(ADDRESS(ROW(),COLUMN()-1,4)),UNSPSCCode,0)),IF(INDIRECT(ADDRESS(ROW(),COLUMN()-1,4))="25172504","Neumáticos para automoviles o camiones ligeros",""))</calculatedColumnFormula>
    </tableColumn>
    <tableColumn id="3" xr3:uid="{6562E9B0-7F52-427F-8A4F-421E53577B96}" name="UNIDAD DE MEDIDA">
      <calculatedColumnFormula>IFERROR(VLOOKUP("UD",'[1]Informacion '!P:Q,2,FALSE),"")</calculatedColumnFormula>
    </tableColumn>
    <tableColumn id="4" xr3:uid="{8943FA6A-550B-4461-9882-C96C0FF2DA94}" name="CANTIDAD TOTAL ESTIMADA"/>
    <tableColumn id="5" xr3:uid="{4A61E24F-123D-4AF3-A5BD-B648B09F111B}" name="PRECIO UNITARIO ESTIMADO"/>
    <tableColumn id="6" xr3:uid="{371051EA-0DC0-4C69-9EA9-DFCD51FDE15D}" name="MONTO TOTAL ESTIMADO">
      <calculatedColumnFormula>INDIRECT(ADDRESS(ROW(),COLUMN()-2,4))*INDIRECT(ADDRESS(ROW(),COLUMN()-1,4))</calculatedColumnFormula>
    </tableColumn>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B51DB47B-01A3-4B14-BE2D-5A85A60D0AC2}" name="Table44" displayName="Table44" ref="A627:F628" totalsRowShown="0">
  <tableColumns count="6">
    <tableColumn id="1" xr3:uid="{69D99910-C90C-4314-BAD4-DE0413D6A6F6}" name="CÓDIGO CATÁLOGO"/>
    <tableColumn id="2" xr3:uid="{4A3DC9FB-9F9A-46C2-929B-1EB6DFA260AD}" name="ARTÍCULO">
      <calculatedColumnFormula>IFERROR(INDEX(UNSPSCDes,MATCH(INDIRECT(ADDRESS(ROW(),COLUMN()-1,4)),UNSPSCCode,0)),IF(INDIRECT(ADDRESS(ROW(),COLUMN()-1,4))="44103103","Tóner para impresoras o fax",""))</calculatedColumnFormula>
    </tableColumn>
    <tableColumn id="3" xr3:uid="{DFD71689-EBF2-43CF-AEE0-AB574020B5E8}" name="UNIDAD DE MEDIDA">
      <calculatedColumnFormula>IFERROR(VLOOKUP("PAQ",'[1]Informacion '!P:Q,2,FALSE),"")</calculatedColumnFormula>
    </tableColumn>
    <tableColumn id="4" xr3:uid="{B7CBD0C1-34DD-487F-A9BA-24ACDDEA61C6}" name="CANTIDAD TOTAL ESTIMADA"/>
    <tableColumn id="5" xr3:uid="{D3CA4AA2-2519-43FE-A80E-9566FEE1F248}" name="PRECIO UNITARIO ESTIMADO"/>
    <tableColumn id="6" xr3:uid="{2D93B06A-8219-4B5F-B417-01D5E0A9852B}" name="MONTO TOTAL ESTIMADO">
      <calculatedColumnFormula>INDIRECT(ADDRESS(ROW(),COLUMN()-2,4))*INDIRECT(ADDRESS(ROW(),COLUMN()-1,4))</calculatedColumnFormula>
    </tableColumn>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740A0603-E783-4C5F-8B42-B1C9DD9B429F}" name="Table41" displayName="Table41" ref="A502:F503" totalsRowShown="0">
  <tableColumns count="6">
    <tableColumn id="1" xr3:uid="{36D01425-3C54-4971-95CD-406078799F8E}" name="CÓDIGO CATÁLOGO"/>
    <tableColumn id="2" xr3:uid="{49CF8446-A089-4CBA-9EF5-6E3FAF3F4BF1}" name="ARTÍCULO">
      <calculatedColumnFormula>IFERROR(INDEX(UNSPSCDes,MATCH(INDIRECT(ADDRESS(ROW(),COLUMN()-1,4)),UNSPSCCode,0)),IF(INDIRECT(ADDRESS(ROW(),COLUMN()-1,4))="51102710","Antisépticos basados en alcohol o acetona",""))</calculatedColumnFormula>
    </tableColumn>
    <tableColumn id="3" xr3:uid="{8C4D4CEA-D661-475E-A2B2-D6F331B7E4E7}" name="UNIDAD DE MEDIDA">
      <calculatedColumnFormula>IFERROR(VLOOKUP("GAL",'[1]Informacion '!P:Q,2,FALSE),"")</calculatedColumnFormula>
    </tableColumn>
    <tableColumn id="4" xr3:uid="{4FB10C1D-654C-4CAC-A812-C0843CE893F2}" name="CANTIDAD TOTAL ESTIMADA"/>
    <tableColumn id="5" xr3:uid="{44DF5EF7-A580-48AE-9B08-14365066BC60}" name="PRECIO UNITARIO ESTIMADO"/>
    <tableColumn id="6" xr3:uid="{56A08A8D-C3B8-4448-937F-DD459B01EA23}" name="MONTO TOTAL ESTIMADO">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77641CB-97D7-4F19-A17A-1ED7D8C574A4}" name="Table26" displayName="Table26" ref="A291:F292" totalsRowShown="0">
  <tableColumns count="6">
    <tableColumn id="1" xr3:uid="{2EAAD9DE-DD16-40CC-B8AC-1E15C3BB40CD}" name="CÓDIGO CATÁLOGO"/>
    <tableColumn id="2" xr3:uid="{60AA07E6-95FB-4DF3-8EE5-226E00B1B2D2}" name="ARTÍCULO">
      <calculatedColumnFormula>IFERROR(INDEX(UNSPSCDes,MATCH(INDIRECT(ADDRESS(ROW(),COLUMN()-1,4)),UNSPSCCode,0)),IF(INDIRECT(ADDRESS(ROW(),COLUMN()-1,4))="53121603","Morrales",""))</calculatedColumnFormula>
    </tableColumn>
    <tableColumn id="3" xr3:uid="{6843F304-21DC-444C-982E-4D9417438A81}" name="UNIDAD DE MEDIDA">
      <calculatedColumnFormula>IFERROR(VLOOKUP("UD",'[1]Informacion '!P:Q,2,FALSE),"")</calculatedColumnFormula>
    </tableColumn>
    <tableColumn id="4" xr3:uid="{FBC941D7-CA5D-40E4-8462-6362D05E80DF}" name="CANTIDAD TOTAL ESTIMADA"/>
    <tableColumn id="5" xr3:uid="{BDB10A0E-3380-494C-A8EA-5C7F9C9F58D2}" name="PRECIO UNITARIO ESTIMADO"/>
    <tableColumn id="6" xr3:uid="{1E5C2928-BEE3-48E0-A533-BE40B64F03BF}" name="MONTO TOTAL ESTIMADO">
      <calculatedColumnFormula>INDIRECT(ADDRESS(ROW(),COLUMN()-2,4))*INDIRECT(ADDRESS(ROW(),COLUMN()-1,4))</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6423E3E-5CB8-4081-879E-CFBD81BB9422}" name="Table53" displayName="Table53" ref="A888:F897" totalsRowShown="0">
  <tableColumns count="6">
    <tableColumn id="1" xr3:uid="{03462706-ADE2-4069-ADC2-6FCEC57F883C}" name="CÓDIGO CATÁLOGO"/>
    <tableColumn id="2" xr3:uid="{3F600B98-0ACC-43EF-BFFC-BC7BFA4E9891}" name="ARTÍCULO"/>
    <tableColumn id="3" xr3:uid="{837EDD81-FF3E-4F27-8964-26207B4695FB}" name="UNIDAD DE MEDIDA"/>
    <tableColumn id="4" xr3:uid="{06CF03AF-A97A-464D-8661-3C17EF4995B2}" name="CANTIDAD TOTAL ESTIMADA"/>
    <tableColumn id="5" xr3:uid="{1195AC68-CB7B-43FD-ABFD-DCAD9010C19A}" name="PRECIO UNITARIO ESTIMADO"/>
    <tableColumn id="6" xr3:uid="{D0F2F1E6-1078-4D76-AA16-871C8B2DCDC1}" name="MONTO TOTAL ESTIMADO">
      <calculatedColumnFormula>INDIRECT(ADDRESS(ROW(),COLUMN()-2,4))*INDIRECT(ADDRESS(ROW(),COLUMN()-1,4))</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DBCC8F6-4DDF-48E9-9281-6D51536FCAFE}" name="Table11" displayName="Table11" ref="A101:F102" totalsRowShown="0">
  <tableColumns count="6">
    <tableColumn id="1" xr3:uid="{0B04867F-A9E4-44AD-B2A4-758D463C971F}" name="CÓDIGO CATÁLOGO"/>
    <tableColumn id="2" xr3:uid="{A908DCA5-5E36-4F2D-9E8F-4B7E839817EF}" name="ARTÍCULO">
      <calculatedColumnFormula>IFERROR(INDEX(UNSPSCDes,MATCH(INDIRECT(ADDRESS(ROW(),COLUMN()-1,4)),UNSPSCCode,0)),IF(INDIRECT(ADDRESS(ROW(),COLUMN()-1,4))="84111603","Auditorias internas",""))</calculatedColumnFormula>
    </tableColumn>
    <tableColumn id="3" xr3:uid="{0A4F3B0F-6EA0-4A97-92A6-347FF2FE98E3}" name="UNIDAD DE MEDIDA">
      <calculatedColumnFormula>IFERROR(VLOOKUP("PAQ",'[1]Informacion '!P:Q,2,FALSE),"")</calculatedColumnFormula>
    </tableColumn>
    <tableColumn id="4" xr3:uid="{62FB2B98-3031-4C27-9E3D-19AA92942451}" name="CANTIDAD TOTAL ESTIMADA"/>
    <tableColumn id="5" xr3:uid="{2868845A-E29F-4F99-9609-AC813D0F4457}" name="PRECIO UNITARIO ESTIMADO"/>
    <tableColumn id="6" xr3:uid="{A50AB334-DEF0-4E0C-BF08-EC0E452D7257}" name="MONTO TOTAL ESTIMADO">
      <calculatedColumnFormula>INDIRECT(ADDRESS(ROW(),COLUMN()-2,4))*INDIRECT(ADDRESS(ROW(),COLUMN()-1,4))</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table" Target="../tables/table23.xml"/><Relationship Id="rId21" Type="http://schemas.openxmlformats.org/officeDocument/2006/relationships/table" Target="../tables/table18.xml"/><Relationship Id="rId34" Type="http://schemas.openxmlformats.org/officeDocument/2006/relationships/table" Target="../tables/table31.xml"/><Relationship Id="rId42" Type="http://schemas.openxmlformats.org/officeDocument/2006/relationships/table" Target="../tables/table39.xml"/><Relationship Id="rId47" Type="http://schemas.openxmlformats.org/officeDocument/2006/relationships/table" Target="../tables/table44.xml"/><Relationship Id="rId50" Type="http://schemas.openxmlformats.org/officeDocument/2006/relationships/table" Target="../tables/table47.xml"/><Relationship Id="rId55" Type="http://schemas.openxmlformats.org/officeDocument/2006/relationships/table" Target="../tables/table52.xml"/><Relationship Id="rId63" Type="http://schemas.openxmlformats.org/officeDocument/2006/relationships/table" Target="../tables/table60.xml"/><Relationship Id="rId7" Type="http://schemas.openxmlformats.org/officeDocument/2006/relationships/table" Target="../tables/table4.xml"/><Relationship Id="rId2" Type="http://schemas.openxmlformats.org/officeDocument/2006/relationships/drawing" Target="../drawings/drawing1.xml"/><Relationship Id="rId16" Type="http://schemas.openxmlformats.org/officeDocument/2006/relationships/table" Target="../tables/table13.xml"/><Relationship Id="rId29" Type="http://schemas.openxmlformats.org/officeDocument/2006/relationships/table" Target="../tables/table26.xml"/><Relationship Id="rId11" Type="http://schemas.openxmlformats.org/officeDocument/2006/relationships/table" Target="../tables/table8.xml"/><Relationship Id="rId24" Type="http://schemas.openxmlformats.org/officeDocument/2006/relationships/table" Target="../tables/table21.xml"/><Relationship Id="rId32" Type="http://schemas.openxmlformats.org/officeDocument/2006/relationships/table" Target="../tables/table29.xml"/><Relationship Id="rId37" Type="http://schemas.openxmlformats.org/officeDocument/2006/relationships/table" Target="../tables/table34.xml"/><Relationship Id="rId40" Type="http://schemas.openxmlformats.org/officeDocument/2006/relationships/table" Target="../tables/table37.xml"/><Relationship Id="rId45" Type="http://schemas.openxmlformats.org/officeDocument/2006/relationships/table" Target="../tables/table42.xml"/><Relationship Id="rId53" Type="http://schemas.openxmlformats.org/officeDocument/2006/relationships/table" Target="../tables/table50.xml"/><Relationship Id="rId58" Type="http://schemas.openxmlformats.org/officeDocument/2006/relationships/table" Target="../tables/table55.xml"/><Relationship Id="rId66" Type="http://schemas.openxmlformats.org/officeDocument/2006/relationships/table" Target="../tables/table63.xml"/><Relationship Id="rId5" Type="http://schemas.openxmlformats.org/officeDocument/2006/relationships/table" Target="../tables/table2.xml"/><Relationship Id="rId61" Type="http://schemas.openxmlformats.org/officeDocument/2006/relationships/table" Target="../tables/table58.xml"/><Relationship Id="rId19" Type="http://schemas.openxmlformats.org/officeDocument/2006/relationships/table" Target="../tables/table1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table" Target="../tables/table32.xml"/><Relationship Id="rId43" Type="http://schemas.openxmlformats.org/officeDocument/2006/relationships/table" Target="../tables/table40.xml"/><Relationship Id="rId48" Type="http://schemas.openxmlformats.org/officeDocument/2006/relationships/table" Target="../tables/table45.xml"/><Relationship Id="rId56" Type="http://schemas.openxmlformats.org/officeDocument/2006/relationships/table" Target="../tables/table53.xml"/><Relationship Id="rId64" Type="http://schemas.openxmlformats.org/officeDocument/2006/relationships/table" Target="../tables/table61.xml"/><Relationship Id="rId8" Type="http://schemas.openxmlformats.org/officeDocument/2006/relationships/table" Target="../tables/table5.xml"/><Relationship Id="rId51" Type="http://schemas.openxmlformats.org/officeDocument/2006/relationships/table" Target="../tables/table48.xml"/><Relationship Id="rId3" Type="http://schemas.openxmlformats.org/officeDocument/2006/relationships/vmlDrawing" Target="../drawings/vmlDrawing1.v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38" Type="http://schemas.openxmlformats.org/officeDocument/2006/relationships/table" Target="../tables/table35.xml"/><Relationship Id="rId46" Type="http://schemas.openxmlformats.org/officeDocument/2006/relationships/table" Target="../tables/table43.xml"/><Relationship Id="rId59" Type="http://schemas.openxmlformats.org/officeDocument/2006/relationships/table" Target="../tables/table56.xml"/><Relationship Id="rId67" Type="http://schemas.openxmlformats.org/officeDocument/2006/relationships/comments" Target="../comments1.xml"/><Relationship Id="rId20" Type="http://schemas.openxmlformats.org/officeDocument/2006/relationships/table" Target="../tables/table17.xml"/><Relationship Id="rId41" Type="http://schemas.openxmlformats.org/officeDocument/2006/relationships/table" Target="../tables/table38.xml"/><Relationship Id="rId54" Type="http://schemas.openxmlformats.org/officeDocument/2006/relationships/table" Target="../tables/table51.xml"/><Relationship Id="rId62" Type="http://schemas.openxmlformats.org/officeDocument/2006/relationships/table" Target="../tables/table59.xml"/><Relationship Id="rId1" Type="http://schemas.openxmlformats.org/officeDocument/2006/relationships/printerSettings" Target="../printerSettings/printerSettings1.bin"/><Relationship Id="rId6" Type="http://schemas.openxmlformats.org/officeDocument/2006/relationships/table" Target="../tables/table3.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36" Type="http://schemas.openxmlformats.org/officeDocument/2006/relationships/table" Target="../tables/table33.xml"/><Relationship Id="rId49" Type="http://schemas.openxmlformats.org/officeDocument/2006/relationships/table" Target="../tables/table46.xml"/><Relationship Id="rId57" Type="http://schemas.openxmlformats.org/officeDocument/2006/relationships/table" Target="../tables/table54.xml"/><Relationship Id="rId10" Type="http://schemas.openxmlformats.org/officeDocument/2006/relationships/table" Target="../tables/table7.xml"/><Relationship Id="rId31" Type="http://schemas.openxmlformats.org/officeDocument/2006/relationships/table" Target="../tables/table28.xml"/><Relationship Id="rId44" Type="http://schemas.openxmlformats.org/officeDocument/2006/relationships/table" Target="../tables/table41.xml"/><Relationship Id="rId52" Type="http://schemas.openxmlformats.org/officeDocument/2006/relationships/table" Target="../tables/table49.xml"/><Relationship Id="rId60" Type="http://schemas.openxmlformats.org/officeDocument/2006/relationships/table" Target="../tables/table57.xml"/><Relationship Id="rId65" Type="http://schemas.openxmlformats.org/officeDocument/2006/relationships/table" Target="../tables/table62.xml"/><Relationship Id="rId4" Type="http://schemas.openxmlformats.org/officeDocument/2006/relationships/table" Target="../tables/table1.xml"/><Relationship Id="rId9" Type="http://schemas.openxmlformats.org/officeDocument/2006/relationships/table" Target="../tables/table6.xml"/><Relationship Id="rId13" Type="http://schemas.openxmlformats.org/officeDocument/2006/relationships/table" Target="../tables/table10.xml"/><Relationship Id="rId18" Type="http://schemas.openxmlformats.org/officeDocument/2006/relationships/table" Target="../tables/table15.xml"/><Relationship Id="rId39" Type="http://schemas.openxmlformats.org/officeDocument/2006/relationships/table" Target="../tables/table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FAD1A-10F9-45C8-BBF5-8781C45386E1}">
  <dimension ref="A1:F1102"/>
  <sheetViews>
    <sheetView tabSelected="1" view="pageLayout" topLeftCell="A237" zoomScaleNormal="100" workbookViewId="0">
      <selection activeCell="A246" sqref="A246:B246"/>
    </sheetView>
  </sheetViews>
  <sheetFormatPr baseColWidth="10" defaultRowHeight="14.4" x14ac:dyDescent="0.3"/>
  <cols>
    <col min="1" max="1" width="35.109375" customWidth="1"/>
    <col min="2" max="2" width="41.77734375" customWidth="1"/>
    <col min="3" max="3" width="14.21875" customWidth="1"/>
    <col min="4" max="4" width="24.88671875" customWidth="1"/>
    <col min="5" max="5" width="18.88671875" customWidth="1"/>
    <col min="6" max="6" width="26.21875" customWidth="1"/>
  </cols>
  <sheetData>
    <row r="1" spans="1:6" ht="18.600000000000001" thickTop="1" x14ac:dyDescent="0.3">
      <c r="A1" s="36"/>
      <c r="B1" s="1"/>
      <c r="C1" s="2"/>
      <c r="D1" s="2"/>
      <c r="E1" s="3"/>
      <c r="F1" s="1"/>
    </row>
    <row r="2" spans="1:6" ht="15.6" x14ac:dyDescent="0.3">
      <c r="A2" s="36"/>
      <c r="B2" s="37" t="s">
        <v>0</v>
      </c>
      <c r="C2" s="37"/>
      <c r="D2" s="37"/>
      <c r="E2" s="37"/>
      <c r="F2" s="4"/>
    </row>
    <row r="3" spans="1:6" ht="15.6" x14ac:dyDescent="0.3">
      <c r="A3" s="36"/>
      <c r="B3" s="38" t="str">
        <f>"AÑO "&amp;E11</f>
        <v>AÑO 2023</v>
      </c>
      <c r="C3" s="38"/>
      <c r="D3" s="38"/>
      <c r="E3" s="38"/>
      <c r="F3" s="5"/>
    </row>
    <row r="4" spans="1:6" ht="18" x14ac:dyDescent="0.3">
      <c r="A4" s="36"/>
      <c r="B4" s="1"/>
      <c r="C4" s="1"/>
      <c r="D4" s="1"/>
      <c r="E4" s="6"/>
      <c r="F4" s="1"/>
    </row>
    <row r="5" spans="1:6" ht="21" thickBot="1" x14ac:dyDescent="0.35">
      <c r="A5" s="7"/>
      <c r="B5" s="7"/>
      <c r="C5" s="8"/>
      <c r="D5" s="8"/>
      <c r="E5" s="8"/>
      <c r="F5" s="8"/>
    </row>
    <row r="6" spans="1:6" ht="15" thickBot="1" x14ac:dyDescent="0.35">
      <c r="A6" s="9" t="s">
        <v>1</v>
      </c>
      <c r="B6" s="10"/>
      <c r="C6" s="11"/>
      <c r="D6" s="12" t="s">
        <v>2</v>
      </c>
      <c r="E6" s="39" t="s">
        <v>3</v>
      </c>
      <c r="F6" s="40"/>
    </row>
    <row r="7" spans="1:6" ht="15" thickBot="1" x14ac:dyDescent="0.35">
      <c r="A7" s="13" t="s">
        <v>4</v>
      </c>
      <c r="B7" s="10"/>
      <c r="C7" s="10"/>
      <c r="D7" s="12" t="s">
        <v>5</v>
      </c>
      <c r="E7" s="39" t="s">
        <v>6</v>
      </c>
      <c r="F7" s="40"/>
    </row>
    <row r="8" spans="1:6" ht="27" thickBot="1" x14ac:dyDescent="0.35">
      <c r="A8" s="10"/>
      <c r="B8" s="10"/>
      <c r="C8" s="10"/>
      <c r="D8" s="12" t="s">
        <v>7</v>
      </c>
      <c r="E8" s="39" t="s">
        <v>8</v>
      </c>
      <c r="F8" s="40"/>
    </row>
    <row r="9" spans="1:6" ht="15" thickBot="1" x14ac:dyDescent="0.35">
      <c r="A9" s="14" t="s">
        <v>9</v>
      </c>
      <c r="B9" s="15">
        <f ca="1">COUNTIFS(TotalEstColumnName,"="&amp;TotalEstLabel,TotalEstColumnValue,"&gt;0")</f>
        <v>63</v>
      </c>
      <c r="C9" s="10"/>
      <c r="D9" s="12" t="s">
        <v>10</v>
      </c>
      <c r="E9" s="39" t="s">
        <v>11</v>
      </c>
      <c r="F9" s="40"/>
    </row>
    <row r="10" spans="1:6" ht="15" thickBot="1" x14ac:dyDescent="0.35">
      <c r="A10" s="16" t="s">
        <v>12</v>
      </c>
      <c r="B10" s="17">
        <f ca="1">SUMIF(TotalEstColumnName,"="&amp;TotalEstLabel,TotalEstColumnValue)</f>
        <v>261068831.20500004</v>
      </c>
      <c r="C10" s="10"/>
      <c r="D10" s="12" t="s">
        <v>13</v>
      </c>
      <c r="E10" s="39" t="s">
        <v>14</v>
      </c>
      <c r="F10" s="40"/>
    </row>
    <row r="11" spans="1:6" ht="15" thickBot="1" x14ac:dyDescent="0.35">
      <c r="A11" s="10"/>
      <c r="B11" s="10"/>
      <c r="C11" s="10"/>
      <c r="D11" s="12" t="s">
        <v>15</v>
      </c>
      <c r="E11" s="43" t="s">
        <v>16</v>
      </c>
      <c r="F11" s="44"/>
    </row>
    <row r="12" spans="1:6" ht="15" thickBot="1" x14ac:dyDescent="0.35">
      <c r="A12" s="18"/>
      <c r="B12" s="18"/>
      <c r="C12" s="18"/>
      <c r="D12" s="12" t="s">
        <v>17</v>
      </c>
      <c r="E12" s="45" t="s">
        <v>18</v>
      </c>
      <c r="F12" s="46"/>
    </row>
    <row r="13" spans="1:6" x14ac:dyDescent="0.3">
      <c r="A13" s="19"/>
      <c r="B13" s="19"/>
      <c r="C13" s="19"/>
      <c r="D13" s="19"/>
      <c r="E13" s="19"/>
      <c r="F13" s="19"/>
    </row>
    <row r="14" spans="1:6" ht="15" thickBot="1" x14ac:dyDescent="0.35">
      <c r="A14" s="19"/>
      <c r="B14" s="19"/>
      <c r="C14" s="19"/>
      <c r="D14" s="19"/>
      <c r="E14" s="19"/>
      <c r="F14" s="19"/>
    </row>
    <row r="15" spans="1:6" ht="21" thickBot="1" x14ac:dyDescent="0.35">
      <c r="A15" s="20" t="s">
        <v>19</v>
      </c>
      <c r="B15" s="20" t="s">
        <v>20</v>
      </c>
      <c r="C15" s="20" t="s">
        <v>21</v>
      </c>
      <c r="D15" s="20" t="s">
        <v>22</v>
      </c>
      <c r="E15" s="20" t="s">
        <v>23</v>
      </c>
      <c r="F15" s="20" t="s">
        <v>24</v>
      </c>
    </row>
    <row r="16" spans="1:6" ht="15" thickBot="1" x14ac:dyDescent="0.35">
      <c r="A16" s="21" t="s">
        <v>25</v>
      </c>
      <c r="B16" s="21" t="s">
        <v>26</v>
      </c>
      <c r="C16" s="21" t="s">
        <v>27</v>
      </c>
      <c r="D16" s="21" t="s">
        <v>28</v>
      </c>
      <c r="E16" s="21" t="s">
        <v>29</v>
      </c>
      <c r="F16" s="21" t="s">
        <v>18</v>
      </c>
    </row>
    <row r="17" spans="1:6" ht="15" thickBot="1" x14ac:dyDescent="0.35">
      <c r="A17" s="41" t="s">
        <v>30</v>
      </c>
      <c r="B17" s="22" t="s">
        <v>31</v>
      </c>
      <c r="C17" s="23">
        <v>44957</v>
      </c>
      <c r="D17" s="41" t="s">
        <v>32</v>
      </c>
      <c r="E17" s="24" t="s">
        <v>33</v>
      </c>
      <c r="F17" s="25" t="s">
        <v>34</v>
      </c>
    </row>
    <row r="18" spans="1:6" ht="15" thickBot="1" x14ac:dyDescent="0.35">
      <c r="A18" s="42"/>
      <c r="B18" s="22" t="s">
        <v>35</v>
      </c>
      <c r="C18" s="26">
        <f>IF(C17="","",IF(AND(MONTH(C17)&gt;=1,MONTH(C17)&lt;=3),1,IF(AND(MONTH(C17)&gt;=4,MONTH(C17)&lt;=6),2,IF(AND(MONTH(C17)&gt;=7,MONTH(C17)&lt;=9),3,4))))</f>
        <v>1</v>
      </c>
      <c r="D18" s="42"/>
      <c r="E18" s="24" t="s">
        <v>36</v>
      </c>
      <c r="F18" s="25" t="s">
        <v>37</v>
      </c>
    </row>
    <row r="19" spans="1:6" ht="15" thickBot="1" x14ac:dyDescent="0.35">
      <c r="A19" s="42"/>
      <c r="B19" s="22" t="s">
        <v>38</v>
      </c>
      <c r="C19" s="23">
        <v>45015</v>
      </c>
      <c r="D19" s="42"/>
      <c r="E19" s="24" t="s">
        <v>39</v>
      </c>
      <c r="F19" s="25" t="s">
        <v>37</v>
      </c>
    </row>
    <row r="20" spans="1:6" ht="15" thickBot="1" x14ac:dyDescent="0.35">
      <c r="A20" s="42"/>
      <c r="B20" s="22" t="s">
        <v>35</v>
      </c>
      <c r="C20" s="26">
        <f>IF(C19="","",IF(AND(MONTH(C19)&gt;=1,MONTH(C19)&lt;=3),1,IF(AND(MONTH(C19)&gt;=4,MONTH(C19)&lt;=6),2,IF(AND(MONTH(C19)&gt;=7,MONTH(C19)&lt;=9),3,4))))</f>
        <v>1</v>
      </c>
      <c r="D20" s="42"/>
      <c r="E20" s="24" t="s">
        <v>40</v>
      </c>
      <c r="F20" s="25"/>
    </row>
    <row r="21" spans="1:6" ht="15" thickBot="1" x14ac:dyDescent="0.35">
      <c r="A21" s="19"/>
      <c r="B21" s="19"/>
      <c r="C21" s="19"/>
      <c r="D21" s="19"/>
      <c r="E21" s="19"/>
      <c r="F21" s="19"/>
    </row>
    <row r="22" spans="1:6" ht="15" thickBot="1" x14ac:dyDescent="0.35">
      <c r="A22" s="27" t="s">
        <v>41</v>
      </c>
      <c r="B22" s="27" t="s">
        <v>42</v>
      </c>
      <c r="C22" s="27" t="s">
        <v>43</v>
      </c>
      <c r="D22" s="27" t="s">
        <v>44</v>
      </c>
      <c r="E22" s="27" t="s">
        <v>45</v>
      </c>
      <c r="F22" s="27" t="s">
        <v>46</v>
      </c>
    </row>
    <row r="23" spans="1:6" ht="20.399999999999999" x14ac:dyDescent="0.3">
      <c r="A23" s="28" t="s">
        <v>47</v>
      </c>
      <c r="B23" s="29" t="str">
        <f ca="1">IFERROR(INDEX(UNSPSCDes,MATCH(INDIRECT(ADDRESS(ROW(),COLUMN()-1,4)),UNSPSCCode,0)),IF(INDIRECT(ADDRESS(ROW(),COLUMN()-1,4))="82101601","Publicidad en radio",""))</f>
        <v>Publicidad en radio</v>
      </c>
      <c r="C23" s="30" t="str">
        <f>IFERROR(VLOOKUP("PAQ",'[1]Informacion '!P:Q,2,FALSE),"")</f>
        <v>Paquete</v>
      </c>
      <c r="D23" s="28">
        <v>18</v>
      </c>
      <c r="E23" s="31">
        <v>50000</v>
      </c>
      <c r="F23" s="32">
        <f ca="1">INDIRECT(ADDRESS(ROW(),COLUMN()-2,4))*INDIRECT(ADDRESS(ROW(),COLUMN()-1,4))</f>
        <v>900000</v>
      </c>
    </row>
    <row r="24" spans="1:6" x14ac:dyDescent="0.3">
      <c r="A24" s="19"/>
      <c r="B24" s="19"/>
      <c r="C24" s="19"/>
      <c r="D24" s="19"/>
      <c r="E24" s="33" t="s">
        <v>48</v>
      </c>
      <c r="F24" s="34">
        <f ca="1">SUM(Table4[MONTO TOTAL ESTIMADO])</f>
        <v>900000</v>
      </c>
    </row>
    <row r="25" spans="1:6" ht="15" thickBot="1" x14ac:dyDescent="0.35">
      <c r="A25" s="19"/>
      <c r="B25" s="19"/>
      <c r="C25" s="19"/>
      <c r="D25" s="19"/>
      <c r="E25" s="19"/>
      <c r="F25" s="19"/>
    </row>
    <row r="26" spans="1:6" ht="21" thickBot="1" x14ac:dyDescent="0.35">
      <c r="A26" s="20" t="s">
        <v>19</v>
      </c>
      <c r="B26" s="20" t="s">
        <v>20</v>
      </c>
      <c r="C26" s="20" t="s">
        <v>21</v>
      </c>
      <c r="D26" s="20" t="s">
        <v>22</v>
      </c>
      <c r="E26" s="20" t="s">
        <v>23</v>
      </c>
      <c r="F26" s="20" t="s">
        <v>24</v>
      </c>
    </row>
    <row r="27" spans="1:6" ht="15" thickBot="1" x14ac:dyDescent="0.35">
      <c r="A27" s="21" t="s">
        <v>49</v>
      </c>
      <c r="B27" s="21" t="s">
        <v>50</v>
      </c>
      <c r="C27" s="21" t="s">
        <v>27</v>
      </c>
      <c r="D27" s="21" t="s">
        <v>28</v>
      </c>
      <c r="E27" s="21" t="s">
        <v>29</v>
      </c>
      <c r="F27" s="21" t="s">
        <v>18</v>
      </c>
    </row>
    <row r="28" spans="1:6" ht="15" thickBot="1" x14ac:dyDescent="0.35">
      <c r="A28" s="41" t="s">
        <v>30</v>
      </c>
      <c r="B28" s="22" t="s">
        <v>31</v>
      </c>
      <c r="C28" s="23">
        <v>44957</v>
      </c>
      <c r="D28" s="41" t="s">
        <v>32</v>
      </c>
      <c r="E28" s="24" t="s">
        <v>33</v>
      </c>
      <c r="F28" s="25" t="s">
        <v>34</v>
      </c>
    </row>
    <row r="29" spans="1:6" ht="15" thickBot="1" x14ac:dyDescent="0.35">
      <c r="A29" s="42"/>
      <c r="B29" s="22" t="s">
        <v>35</v>
      </c>
      <c r="C29" s="26">
        <f>IF(C28="","",IF(AND(MONTH(C28)&gt;=1,MONTH(C28)&lt;=3),1,IF(AND(MONTH(C28)&gt;=4,MONTH(C28)&lt;=6),2,IF(AND(MONTH(C28)&gt;=7,MONTH(C28)&lt;=9),3,4))))</f>
        <v>1</v>
      </c>
      <c r="D29" s="42"/>
      <c r="E29" s="24" t="s">
        <v>36</v>
      </c>
      <c r="F29" s="25" t="s">
        <v>37</v>
      </c>
    </row>
    <row r="30" spans="1:6" ht="15" thickBot="1" x14ac:dyDescent="0.35">
      <c r="A30" s="42"/>
      <c r="B30" s="22" t="s">
        <v>38</v>
      </c>
      <c r="C30" s="23">
        <v>45015</v>
      </c>
      <c r="D30" s="42"/>
      <c r="E30" s="24" t="s">
        <v>39</v>
      </c>
      <c r="F30" s="25" t="s">
        <v>37</v>
      </c>
    </row>
    <row r="31" spans="1:6" ht="15" thickBot="1" x14ac:dyDescent="0.35">
      <c r="A31" s="42"/>
      <c r="B31" s="22" t="s">
        <v>35</v>
      </c>
      <c r="C31" s="26">
        <f>IF(C30="","",IF(AND(MONTH(C30)&gt;=1,MONTH(C30)&lt;=3),1,IF(AND(MONTH(C30)&gt;=4,MONTH(C30)&lt;=6),2,IF(AND(MONTH(C30)&gt;=7,MONTH(C30)&lt;=9),3,4))))</f>
        <v>1</v>
      </c>
      <c r="D31" s="42"/>
      <c r="E31" s="24" t="s">
        <v>40</v>
      </c>
      <c r="F31" s="25"/>
    </row>
    <row r="32" spans="1:6" ht="15" thickBot="1" x14ac:dyDescent="0.35">
      <c r="A32" s="19"/>
      <c r="B32" s="19"/>
      <c r="C32" s="19"/>
      <c r="D32" s="19"/>
      <c r="E32" s="19"/>
      <c r="F32" s="19"/>
    </row>
    <row r="33" spans="1:6" ht="15" thickBot="1" x14ac:dyDescent="0.35">
      <c r="A33" s="27" t="s">
        <v>41</v>
      </c>
      <c r="B33" s="27" t="s">
        <v>42</v>
      </c>
      <c r="C33" s="27" t="s">
        <v>43</v>
      </c>
      <c r="D33" s="27" t="s">
        <v>44</v>
      </c>
      <c r="E33" s="27" t="s">
        <v>45</v>
      </c>
      <c r="F33" s="27" t="s">
        <v>46</v>
      </c>
    </row>
    <row r="34" spans="1:6" x14ac:dyDescent="0.3">
      <c r="A34" s="28" t="s">
        <v>51</v>
      </c>
      <c r="B34" s="29" t="str">
        <f ca="1">IFERROR(INDEX(UNSPSCDes,MATCH(INDIRECT(ADDRESS(ROW(),COLUMN()-1,4)),UNSPSCCode,0)),IF(INDIRECT(ADDRESS(ROW(),COLUMN()-1,4))="82101905","Inserción en medios impresos",""))</f>
        <v>Inserción en medios impresos</v>
      </c>
      <c r="C34" s="30" t="str">
        <f>IFERROR(VLOOKUP("PAQ",'[1]Informacion '!P:Q,2,FALSE),"")</f>
        <v>Paquete</v>
      </c>
      <c r="D34" s="28">
        <v>30</v>
      </c>
      <c r="E34" s="31">
        <v>42000</v>
      </c>
      <c r="F34" s="32">
        <f ca="1">INDIRECT(ADDRESS(ROW(),COLUMN()-2,4))*INDIRECT(ADDRESS(ROW(),COLUMN()-1,4))</f>
        <v>1260000</v>
      </c>
    </row>
    <row r="35" spans="1:6" x14ac:dyDescent="0.3">
      <c r="A35" s="19"/>
      <c r="B35" s="19"/>
      <c r="C35" s="19"/>
      <c r="D35" s="19"/>
      <c r="E35" s="33" t="s">
        <v>48</v>
      </c>
      <c r="F35" s="34">
        <f ca="1">SUM(Table5[MONTO TOTAL ESTIMADO])</f>
        <v>1260000</v>
      </c>
    </row>
    <row r="36" spans="1:6" ht="15" thickBot="1" x14ac:dyDescent="0.35">
      <c r="A36" s="19"/>
      <c r="B36" s="19"/>
      <c r="C36" s="19"/>
      <c r="D36" s="19"/>
      <c r="E36" s="19"/>
      <c r="F36" s="19"/>
    </row>
    <row r="37" spans="1:6" ht="21" thickBot="1" x14ac:dyDescent="0.35">
      <c r="A37" s="20" t="s">
        <v>19</v>
      </c>
      <c r="B37" s="20" t="s">
        <v>20</v>
      </c>
      <c r="C37" s="20" t="s">
        <v>21</v>
      </c>
      <c r="D37" s="20" t="s">
        <v>22</v>
      </c>
      <c r="E37" s="20" t="s">
        <v>23</v>
      </c>
      <c r="F37" s="20" t="s">
        <v>24</v>
      </c>
    </row>
    <row r="38" spans="1:6" ht="15" thickBot="1" x14ac:dyDescent="0.35">
      <c r="A38" s="21" t="s">
        <v>52</v>
      </c>
      <c r="B38" s="21" t="s">
        <v>53</v>
      </c>
      <c r="C38" s="21" t="s">
        <v>27</v>
      </c>
      <c r="D38" s="21" t="s">
        <v>28</v>
      </c>
      <c r="E38" s="21" t="s">
        <v>54</v>
      </c>
      <c r="F38" s="21" t="s">
        <v>18</v>
      </c>
    </row>
    <row r="39" spans="1:6" ht="15" thickBot="1" x14ac:dyDescent="0.35">
      <c r="A39" s="41" t="s">
        <v>30</v>
      </c>
      <c r="B39" s="22" t="s">
        <v>31</v>
      </c>
      <c r="C39" s="23">
        <v>44972</v>
      </c>
      <c r="D39" s="41" t="s">
        <v>32</v>
      </c>
      <c r="E39" s="24" t="s">
        <v>33</v>
      </c>
      <c r="F39" s="25" t="s">
        <v>34</v>
      </c>
    </row>
    <row r="40" spans="1:6" ht="15" thickBot="1" x14ac:dyDescent="0.35">
      <c r="A40" s="42"/>
      <c r="B40" s="22" t="s">
        <v>35</v>
      </c>
      <c r="C40" s="26">
        <f>IF(C39="","",IF(AND(MONTH(C39)&gt;=1,MONTH(C39)&lt;=3),1,IF(AND(MONTH(C39)&gt;=4,MONTH(C39)&lt;=6),2,IF(AND(MONTH(C39)&gt;=7,MONTH(C39)&lt;=9),3,4))))</f>
        <v>1</v>
      </c>
      <c r="D40" s="42"/>
      <c r="E40" s="24" t="s">
        <v>36</v>
      </c>
      <c r="F40" s="25" t="s">
        <v>37</v>
      </c>
    </row>
    <row r="41" spans="1:6" ht="15" thickBot="1" x14ac:dyDescent="0.35">
      <c r="A41" s="42"/>
      <c r="B41" s="22" t="s">
        <v>38</v>
      </c>
      <c r="C41" s="23">
        <v>45000</v>
      </c>
      <c r="D41" s="42"/>
      <c r="E41" s="24" t="s">
        <v>39</v>
      </c>
      <c r="F41" s="25" t="s">
        <v>37</v>
      </c>
    </row>
    <row r="42" spans="1:6" ht="15" thickBot="1" x14ac:dyDescent="0.35">
      <c r="A42" s="42"/>
      <c r="B42" s="22" t="s">
        <v>35</v>
      </c>
      <c r="C42" s="26">
        <f>IF(C41="","",IF(AND(MONTH(C41)&gt;=1,MONTH(C41)&lt;=3),1,IF(AND(MONTH(C41)&gt;=4,MONTH(C41)&lt;=6),2,IF(AND(MONTH(C41)&gt;=7,MONTH(C41)&lt;=9),3,4))))</f>
        <v>1</v>
      </c>
      <c r="D42" s="42"/>
      <c r="E42" s="24" t="s">
        <v>40</v>
      </c>
      <c r="F42" s="25"/>
    </row>
    <row r="43" spans="1:6" ht="15" thickBot="1" x14ac:dyDescent="0.35">
      <c r="A43" s="19"/>
      <c r="B43" s="19"/>
      <c r="C43" s="19"/>
      <c r="D43" s="19"/>
      <c r="E43" s="19"/>
      <c r="F43" s="19"/>
    </row>
    <row r="44" spans="1:6" ht="15" thickBot="1" x14ac:dyDescent="0.35">
      <c r="A44" s="27" t="s">
        <v>41</v>
      </c>
      <c r="B44" s="27" t="s">
        <v>42</v>
      </c>
      <c r="C44" s="27" t="s">
        <v>43</v>
      </c>
      <c r="D44" s="27" t="s">
        <v>44</v>
      </c>
      <c r="E44" s="27" t="s">
        <v>45</v>
      </c>
      <c r="F44" s="27" t="s">
        <v>46</v>
      </c>
    </row>
    <row r="45" spans="1:6" x14ac:dyDescent="0.3">
      <c r="A45" s="28" t="s">
        <v>55</v>
      </c>
      <c r="B45" s="29" t="str">
        <f ca="1">IFERROR(INDEX(UNSPSCDes,MATCH(INDIRECT(ADDRESS(ROW(),COLUMN()-1,4)),UNSPSCCode,0)),IF(INDIRECT(ADDRESS(ROW(),COLUMN()-1,4))="82121508","Impresión de envolturas, etiquetas, sellos o bolsas",""))</f>
        <v>Impresión de envolturas, etiquetas, sellos o bolsas</v>
      </c>
      <c r="C45" s="30" t="str">
        <f>IFERROR(VLOOKUP("UD",'[1]Informacion '!P:Q,2,FALSE),"")</f>
        <v>Unidad</v>
      </c>
      <c r="D45" s="28">
        <v>70000</v>
      </c>
      <c r="E45" s="31">
        <v>14</v>
      </c>
      <c r="F45" s="32">
        <f ca="1">INDIRECT(ADDRESS(ROW(),COLUMN()-2,4))*INDIRECT(ADDRESS(ROW(),COLUMN()-1,4))</f>
        <v>980000</v>
      </c>
    </row>
    <row r="46" spans="1:6" x14ac:dyDescent="0.3">
      <c r="A46" s="28" t="s">
        <v>56</v>
      </c>
      <c r="B46" s="29" t="str">
        <f ca="1">IFERROR(INDEX(UNSPSCDes,MATCH(INDIRECT(ADDRESS(ROW(),COLUMN()-1,4)),UNSPSCCode,0)),IF(INDIRECT(ADDRESS(ROW(),COLUMN()-1,4))="44122011","Folders",""))</f>
        <v>Folders</v>
      </c>
      <c r="C46" s="30" t="str">
        <f>IFERROR(VLOOKUP("UD",'[1]Informacion '!P:Q,2,FALSE),"")</f>
        <v>Unidad</v>
      </c>
      <c r="D46" s="28">
        <v>200</v>
      </c>
      <c r="E46" s="31">
        <v>80</v>
      </c>
      <c r="F46" s="32">
        <f ca="1">INDIRECT(ADDRESS(ROW(),COLUMN()-2,4))*INDIRECT(ADDRESS(ROW(),COLUMN()-1,4))</f>
        <v>16000</v>
      </c>
    </row>
    <row r="47" spans="1:6" x14ac:dyDescent="0.3">
      <c r="A47" s="28" t="s">
        <v>57</v>
      </c>
      <c r="B47" s="29" t="str">
        <f ca="1">IFERROR(INDEX(UNSPSCDes,MATCH(INDIRECT(ADDRESS(ROW(),COLUMN()-1,4)),UNSPSCCode,0)),IF(INDIRECT(ADDRESS(ROW(),COLUMN()-1,4))="55121727","Letreros",""))</f>
        <v>Letreros</v>
      </c>
      <c r="C47" s="30" t="str">
        <f>IFERROR(VLOOKUP("UD",'[1]Informacion '!P:Q,2,FALSE),"")</f>
        <v>Unidad</v>
      </c>
      <c r="D47" s="28">
        <v>400</v>
      </c>
      <c r="E47" s="31">
        <v>950</v>
      </c>
      <c r="F47" s="32">
        <f ca="1">INDIRECT(ADDRESS(ROW(),COLUMN()-2,4))*INDIRECT(ADDRESS(ROW(),COLUMN()-1,4))</f>
        <v>380000</v>
      </c>
    </row>
    <row r="48" spans="1:6" x14ac:dyDescent="0.3">
      <c r="A48" s="19"/>
      <c r="B48" s="19"/>
      <c r="C48" s="19"/>
      <c r="D48" s="19"/>
      <c r="E48" s="33" t="s">
        <v>48</v>
      </c>
      <c r="F48" s="34">
        <f ca="1">SUM(Table6[MONTO TOTAL ESTIMADO])</f>
        <v>1376000</v>
      </c>
    </row>
    <row r="49" spans="1:6" ht="15" thickBot="1" x14ac:dyDescent="0.35">
      <c r="A49" s="19"/>
      <c r="B49" s="19"/>
      <c r="C49" s="19"/>
      <c r="D49" s="19"/>
      <c r="E49" s="19"/>
      <c r="F49" s="19"/>
    </row>
    <row r="50" spans="1:6" ht="21" thickBot="1" x14ac:dyDescent="0.35">
      <c r="A50" s="20" t="s">
        <v>19</v>
      </c>
      <c r="B50" s="20" t="s">
        <v>20</v>
      </c>
      <c r="C50" s="20" t="s">
        <v>21</v>
      </c>
      <c r="D50" s="20" t="s">
        <v>22</v>
      </c>
      <c r="E50" s="20" t="s">
        <v>23</v>
      </c>
      <c r="F50" s="20" t="s">
        <v>24</v>
      </c>
    </row>
    <row r="51" spans="1:6" ht="15" thickBot="1" x14ac:dyDescent="0.35">
      <c r="A51" s="21" t="s">
        <v>52</v>
      </c>
      <c r="B51" s="21" t="s">
        <v>53</v>
      </c>
      <c r="C51" s="21" t="s">
        <v>27</v>
      </c>
      <c r="D51" s="21" t="s">
        <v>28</v>
      </c>
      <c r="E51" s="21" t="s">
        <v>54</v>
      </c>
      <c r="F51" s="21" t="s">
        <v>18</v>
      </c>
    </row>
    <row r="52" spans="1:6" ht="15" thickBot="1" x14ac:dyDescent="0.35">
      <c r="A52" s="41" t="s">
        <v>30</v>
      </c>
      <c r="B52" s="22" t="s">
        <v>31</v>
      </c>
      <c r="C52" s="23">
        <v>45110</v>
      </c>
      <c r="D52" s="41" t="s">
        <v>32</v>
      </c>
      <c r="E52" s="24" t="s">
        <v>33</v>
      </c>
      <c r="F52" s="25" t="s">
        <v>34</v>
      </c>
    </row>
    <row r="53" spans="1:6" ht="15" thickBot="1" x14ac:dyDescent="0.35">
      <c r="A53" s="42"/>
      <c r="B53" s="22" t="s">
        <v>35</v>
      </c>
      <c r="C53" s="26">
        <f>IF(C52="","",IF(AND(MONTH(C52)&gt;=1,MONTH(C52)&lt;=3),1,IF(AND(MONTH(C52)&gt;=4,MONTH(C52)&lt;=6),2,IF(AND(MONTH(C52)&gt;=7,MONTH(C52)&lt;=9),3,4))))</f>
        <v>3</v>
      </c>
      <c r="D53" s="42"/>
      <c r="E53" s="24" t="s">
        <v>36</v>
      </c>
      <c r="F53" s="25" t="s">
        <v>37</v>
      </c>
    </row>
    <row r="54" spans="1:6" ht="15" thickBot="1" x14ac:dyDescent="0.35">
      <c r="A54" s="42"/>
      <c r="B54" s="22" t="s">
        <v>38</v>
      </c>
      <c r="C54" s="23">
        <v>45141</v>
      </c>
      <c r="D54" s="42"/>
      <c r="E54" s="24" t="s">
        <v>39</v>
      </c>
      <c r="F54" s="25" t="s">
        <v>37</v>
      </c>
    </row>
    <row r="55" spans="1:6" ht="15" thickBot="1" x14ac:dyDescent="0.35">
      <c r="A55" s="42"/>
      <c r="B55" s="22" t="s">
        <v>35</v>
      </c>
      <c r="C55" s="26">
        <f>IF(C54="","",IF(AND(MONTH(C54)&gt;=1,MONTH(C54)&lt;=3),1,IF(AND(MONTH(C54)&gt;=4,MONTH(C54)&lt;=6),2,IF(AND(MONTH(C54)&gt;=7,MONTH(C54)&lt;=9),3,4))))</f>
        <v>3</v>
      </c>
      <c r="D55" s="42"/>
      <c r="E55" s="24" t="s">
        <v>40</v>
      </c>
      <c r="F55" s="25"/>
    </row>
    <row r="56" spans="1:6" ht="15" thickBot="1" x14ac:dyDescent="0.35">
      <c r="A56" s="19"/>
      <c r="B56" s="19"/>
      <c r="C56" s="19"/>
      <c r="D56" s="19"/>
      <c r="E56" s="19"/>
      <c r="F56" s="19"/>
    </row>
    <row r="57" spans="1:6" ht="15" thickBot="1" x14ac:dyDescent="0.35">
      <c r="A57" s="27" t="s">
        <v>41</v>
      </c>
      <c r="B57" s="27" t="s">
        <v>42</v>
      </c>
      <c r="C57" s="27" t="s">
        <v>43</v>
      </c>
      <c r="D57" s="27" t="s">
        <v>44</v>
      </c>
      <c r="E57" s="27" t="s">
        <v>45</v>
      </c>
      <c r="F57" s="27" t="s">
        <v>46</v>
      </c>
    </row>
    <row r="58" spans="1:6" x14ac:dyDescent="0.3">
      <c r="A58" s="28" t="s">
        <v>55</v>
      </c>
      <c r="B58" s="29" t="str">
        <f ca="1">IFERROR(INDEX(UNSPSCDes,MATCH(INDIRECT(ADDRESS(ROW(),COLUMN()-1,4)),UNSPSCCode,0)),IF(INDIRECT(ADDRESS(ROW(),COLUMN()-1,4))="82121508","Impresión de envolturas, etiquetas, sellos o bolsas",""))</f>
        <v>Impresión de envolturas, etiquetas, sellos o bolsas</v>
      </c>
      <c r="C58" s="30" t="str">
        <f>IFERROR(VLOOKUP("UD",'[1]Informacion '!P:Q,2,FALSE),"")</f>
        <v>Unidad</v>
      </c>
      <c r="D58" s="28">
        <v>31000</v>
      </c>
      <c r="E58" s="31">
        <v>14</v>
      </c>
      <c r="F58" s="32">
        <f ca="1">INDIRECT(ADDRESS(ROW(),COLUMN()-2,4))*INDIRECT(ADDRESS(ROW(),COLUMN()-1,4))</f>
        <v>434000</v>
      </c>
    </row>
    <row r="59" spans="1:6" x14ac:dyDescent="0.3">
      <c r="A59" s="19"/>
      <c r="B59" s="19"/>
      <c r="C59" s="19"/>
      <c r="D59" s="19"/>
      <c r="E59" s="33" t="s">
        <v>48</v>
      </c>
      <c r="F59" s="34">
        <f ca="1">SUM(Table7[MONTO TOTAL ESTIMADO])</f>
        <v>434000</v>
      </c>
    </row>
    <row r="60" spans="1:6" ht="15" thickBot="1" x14ac:dyDescent="0.35">
      <c r="A60" s="19"/>
      <c r="B60" s="19"/>
      <c r="C60" s="19"/>
      <c r="D60" s="19"/>
      <c r="E60" s="19"/>
      <c r="F60" s="19"/>
    </row>
    <row r="61" spans="1:6" ht="21" thickBot="1" x14ac:dyDescent="0.35">
      <c r="A61" s="20" t="s">
        <v>19</v>
      </c>
      <c r="B61" s="20" t="s">
        <v>20</v>
      </c>
      <c r="C61" s="20" t="s">
        <v>21</v>
      </c>
      <c r="D61" s="20" t="s">
        <v>22</v>
      </c>
      <c r="E61" s="20" t="s">
        <v>23</v>
      </c>
      <c r="F61" s="20" t="s">
        <v>24</v>
      </c>
    </row>
    <row r="62" spans="1:6" ht="15" thickBot="1" x14ac:dyDescent="0.35">
      <c r="A62" s="21" t="s">
        <v>58</v>
      </c>
      <c r="B62" s="21" t="s">
        <v>59</v>
      </c>
      <c r="C62" s="21" t="s">
        <v>60</v>
      </c>
      <c r="D62" s="21" t="s">
        <v>61</v>
      </c>
      <c r="E62" s="21" t="s">
        <v>29</v>
      </c>
      <c r="F62" s="21" t="s">
        <v>18</v>
      </c>
    </row>
    <row r="63" spans="1:6" ht="15" thickBot="1" x14ac:dyDescent="0.35">
      <c r="A63" s="41" t="s">
        <v>30</v>
      </c>
      <c r="B63" s="22" t="s">
        <v>31</v>
      </c>
      <c r="C63" s="23">
        <v>44972</v>
      </c>
      <c r="D63" s="41" t="s">
        <v>32</v>
      </c>
      <c r="E63" s="24" t="s">
        <v>33</v>
      </c>
      <c r="F63" s="25" t="s">
        <v>34</v>
      </c>
    </row>
    <row r="64" spans="1:6" ht="15" thickBot="1" x14ac:dyDescent="0.35">
      <c r="A64" s="42"/>
      <c r="B64" s="22" t="s">
        <v>35</v>
      </c>
      <c r="C64" s="26">
        <f>IF(C63="","",IF(AND(MONTH(C63)&gt;=1,MONTH(C63)&lt;=3),1,IF(AND(MONTH(C63)&gt;=4,MONTH(C63)&lt;=6),2,IF(AND(MONTH(C63)&gt;=7,MONTH(C63)&lt;=9),3,4))))</f>
        <v>1</v>
      </c>
      <c r="D64" s="42"/>
      <c r="E64" s="24" t="s">
        <v>36</v>
      </c>
      <c r="F64" s="25" t="s">
        <v>37</v>
      </c>
    </row>
    <row r="65" spans="1:6" ht="15" thickBot="1" x14ac:dyDescent="0.35">
      <c r="A65" s="42"/>
      <c r="B65" s="22" t="s">
        <v>38</v>
      </c>
      <c r="C65" s="23">
        <v>45031</v>
      </c>
      <c r="D65" s="42"/>
      <c r="E65" s="24" t="s">
        <v>39</v>
      </c>
      <c r="F65" s="25" t="s">
        <v>37</v>
      </c>
    </row>
    <row r="66" spans="1:6" ht="15" thickBot="1" x14ac:dyDescent="0.35">
      <c r="A66" s="42"/>
      <c r="B66" s="22" t="s">
        <v>35</v>
      </c>
      <c r="C66" s="26">
        <f>IF(C65="","",IF(AND(MONTH(C65)&gt;=1,MONTH(C65)&lt;=3),1,IF(AND(MONTH(C65)&gt;=4,MONTH(C65)&lt;=6),2,IF(AND(MONTH(C65)&gt;=7,MONTH(C65)&lt;=9),3,4))))</f>
        <v>2</v>
      </c>
      <c r="D66" s="42"/>
      <c r="E66" s="24" t="s">
        <v>40</v>
      </c>
      <c r="F66" s="25"/>
    </row>
    <row r="67" spans="1:6" ht="15" thickBot="1" x14ac:dyDescent="0.35">
      <c r="A67" s="19"/>
      <c r="B67" s="19"/>
      <c r="C67" s="19"/>
      <c r="D67" s="19"/>
      <c r="E67" s="19"/>
      <c r="F67" s="19"/>
    </row>
    <row r="68" spans="1:6" ht="15" thickBot="1" x14ac:dyDescent="0.35">
      <c r="A68" s="27" t="s">
        <v>41</v>
      </c>
      <c r="B68" s="27" t="s">
        <v>42</v>
      </c>
      <c r="C68" s="27" t="s">
        <v>43</v>
      </c>
      <c r="D68" s="27" t="s">
        <v>44</v>
      </c>
      <c r="E68" s="27" t="s">
        <v>45</v>
      </c>
      <c r="F68" s="27" t="s">
        <v>46</v>
      </c>
    </row>
    <row r="69" spans="1:6" ht="30.6" x14ac:dyDescent="0.3">
      <c r="A69" s="28" t="s">
        <v>62</v>
      </c>
      <c r="B69" s="29" t="str">
        <f ca="1">IFERROR(INDEX(UNSPSCDes,MATCH(INDIRECT(ADDRESS(ROW(),COLUMN()-1,4)),UNSPSCCode,0)),IF(INDIRECT(ADDRESS(ROW(),COLUMN()-1,4))="43231512","Software de manejo de licencias",""))</f>
        <v>Software de manejo de licencias</v>
      </c>
      <c r="C69" s="30" t="str">
        <f>IFERROR(VLOOKUP("UD",'[1]Informacion '!P:Q,2,FALSE),"")</f>
        <v>Unidad</v>
      </c>
      <c r="D69" s="28">
        <v>1</v>
      </c>
      <c r="E69" s="31">
        <v>6000000</v>
      </c>
      <c r="F69" s="32">
        <f ca="1">INDIRECT(ADDRESS(ROW(),COLUMN()-2,4))*INDIRECT(ADDRESS(ROW(),COLUMN()-1,4))</f>
        <v>6000000</v>
      </c>
    </row>
    <row r="70" spans="1:6" x14ac:dyDescent="0.3">
      <c r="A70" s="19"/>
      <c r="B70" s="19"/>
      <c r="C70" s="19"/>
      <c r="D70" s="19"/>
      <c r="E70" s="33" t="s">
        <v>48</v>
      </c>
      <c r="F70" s="34">
        <f ca="1">SUM(Table8[MONTO TOTAL ESTIMADO])</f>
        <v>6000000</v>
      </c>
    </row>
    <row r="71" spans="1:6" ht="15" thickBot="1" x14ac:dyDescent="0.35">
      <c r="A71" s="19"/>
      <c r="B71" s="19"/>
      <c r="C71" s="19"/>
      <c r="D71" s="19"/>
      <c r="E71" s="19"/>
      <c r="F71" s="19"/>
    </row>
    <row r="72" spans="1:6" ht="21" thickBot="1" x14ac:dyDescent="0.35">
      <c r="A72" s="20" t="s">
        <v>19</v>
      </c>
      <c r="B72" s="20" t="s">
        <v>20</v>
      </c>
      <c r="C72" s="20" t="s">
        <v>21</v>
      </c>
      <c r="D72" s="20" t="s">
        <v>22</v>
      </c>
      <c r="E72" s="20" t="s">
        <v>23</v>
      </c>
      <c r="F72" s="20" t="s">
        <v>24</v>
      </c>
    </row>
    <row r="73" spans="1:6" ht="15" thickBot="1" x14ac:dyDescent="0.35">
      <c r="A73" s="21" t="s">
        <v>63</v>
      </c>
      <c r="B73" s="21" t="s">
        <v>64</v>
      </c>
      <c r="C73" s="21" t="s">
        <v>27</v>
      </c>
      <c r="D73" s="21" t="s">
        <v>28</v>
      </c>
      <c r="E73" s="21" t="s">
        <v>54</v>
      </c>
      <c r="F73" s="21" t="s">
        <v>18</v>
      </c>
    </row>
    <row r="74" spans="1:6" ht="15" thickBot="1" x14ac:dyDescent="0.35">
      <c r="A74" s="41" t="s">
        <v>30</v>
      </c>
      <c r="B74" s="22" t="s">
        <v>31</v>
      </c>
      <c r="C74" s="23">
        <v>44972</v>
      </c>
      <c r="D74" s="41" t="s">
        <v>32</v>
      </c>
      <c r="E74" s="24" t="s">
        <v>33</v>
      </c>
      <c r="F74" s="25" t="s">
        <v>34</v>
      </c>
    </row>
    <row r="75" spans="1:6" ht="15" thickBot="1" x14ac:dyDescent="0.35">
      <c r="A75" s="42"/>
      <c r="B75" s="22" t="s">
        <v>35</v>
      </c>
      <c r="C75" s="26">
        <f>IF(C74="","",IF(AND(MONTH(C74)&gt;=1,MONTH(C74)&lt;=3),1,IF(AND(MONTH(C74)&gt;=4,MONTH(C74)&lt;=6),2,IF(AND(MONTH(C74)&gt;=7,MONTH(C74)&lt;=9),3,4))))</f>
        <v>1</v>
      </c>
      <c r="D75" s="42"/>
      <c r="E75" s="24" t="s">
        <v>36</v>
      </c>
      <c r="F75" s="25" t="s">
        <v>37</v>
      </c>
    </row>
    <row r="76" spans="1:6" ht="15" thickBot="1" x14ac:dyDescent="0.35">
      <c r="A76" s="42"/>
      <c r="B76" s="22" t="s">
        <v>38</v>
      </c>
      <c r="C76" s="23">
        <v>45015</v>
      </c>
      <c r="D76" s="42"/>
      <c r="E76" s="24" t="s">
        <v>39</v>
      </c>
      <c r="F76" s="25" t="s">
        <v>37</v>
      </c>
    </row>
    <row r="77" spans="1:6" ht="15" thickBot="1" x14ac:dyDescent="0.35">
      <c r="A77" s="42"/>
      <c r="B77" s="22" t="s">
        <v>35</v>
      </c>
      <c r="C77" s="26">
        <f>IF(C76="","",IF(AND(MONTH(C76)&gt;=1,MONTH(C76)&lt;=3),1,IF(AND(MONTH(C76)&gt;=4,MONTH(C76)&lt;=6),2,IF(AND(MONTH(C76)&gt;=7,MONTH(C76)&lt;=9),3,4))))</f>
        <v>1</v>
      </c>
      <c r="D77" s="42"/>
      <c r="E77" s="24" t="s">
        <v>40</v>
      </c>
      <c r="F77" s="25"/>
    </row>
    <row r="78" spans="1:6" ht="15" thickBot="1" x14ac:dyDescent="0.35">
      <c r="A78" s="19"/>
      <c r="B78" s="19"/>
      <c r="C78" s="19"/>
      <c r="D78" s="19"/>
      <c r="E78" s="19"/>
      <c r="F78" s="19"/>
    </row>
    <row r="79" spans="1:6" ht="15" thickBot="1" x14ac:dyDescent="0.35">
      <c r="A79" s="27" t="s">
        <v>41</v>
      </c>
      <c r="B79" s="27" t="s">
        <v>42</v>
      </c>
      <c r="C79" s="27" t="s">
        <v>43</v>
      </c>
      <c r="D79" s="27" t="s">
        <v>44</v>
      </c>
      <c r="E79" s="27" t="s">
        <v>45</v>
      </c>
      <c r="F79" s="27" t="s">
        <v>46</v>
      </c>
    </row>
    <row r="80" spans="1:6" x14ac:dyDescent="0.3">
      <c r="A80" s="28" t="s">
        <v>65</v>
      </c>
      <c r="B80" s="29" t="str">
        <f ca="1">IFERROR(INDEX(UNSPSCDes,MATCH(INDIRECT(ADDRESS(ROW(),COLUMN()-1,4)),UNSPSCCode,0)),IF(INDIRECT(ADDRESS(ROW(),COLUMN()-1,4))="72102103","Servicios de exterminación o fumigación",""))</f>
        <v>Servicios de exterminación o fumigación</v>
      </c>
      <c r="C80" s="30" t="str">
        <f>IFERROR(VLOOKUP("PAQ",'[1]Informacion '!P:Q,2,FALSE),"")</f>
        <v>Paquete</v>
      </c>
      <c r="D80" s="28">
        <v>1</v>
      </c>
      <c r="E80" s="31">
        <v>460000</v>
      </c>
      <c r="F80" s="32">
        <f ca="1">INDIRECT(ADDRESS(ROW(),COLUMN()-2,4))*INDIRECT(ADDRESS(ROW(),COLUMN()-1,4))</f>
        <v>460000</v>
      </c>
    </row>
    <row r="81" spans="1:6" x14ac:dyDescent="0.3">
      <c r="A81" s="19"/>
      <c r="B81" s="19"/>
      <c r="C81" s="19"/>
      <c r="D81" s="19"/>
      <c r="E81" s="33" t="s">
        <v>48</v>
      </c>
      <c r="F81" s="34">
        <f ca="1">SUM(Table9[MONTO TOTAL ESTIMADO])</f>
        <v>460000</v>
      </c>
    </row>
    <row r="82" spans="1:6" ht="15" thickBot="1" x14ac:dyDescent="0.35">
      <c r="A82" s="19"/>
      <c r="B82" s="19"/>
      <c r="C82" s="19"/>
      <c r="D82" s="19"/>
      <c r="E82" s="19"/>
      <c r="F82" s="19"/>
    </row>
    <row r="83" spans="1:6" ht="21" thickBot="1" x14ac:dyDescent="0.35">
      <c r="A83" s="20" t="s">
        <v>19</v>
      </c>
      <c r="B83" s="20" t="s">
        <v>20</v>
      </c>
      <c r="C83" s="20" t="s">
        <v>21</v>
      </c>
      <c r="D83" s="20" t="s">
        <v>22</v>
      </c>
      <c r="E83" s="20" t="s">
        <v>23</v>
      </c>
      <c r="F83" s="20" t="s">
        <v>24</v>
      </c>
    </row>
    <row r="84" spans="1:6" ht="15" thickBot="1" x14ac:dyDescent="0.35">
      <c r="A84" s="21" t="s">
        <v>66</v>
      </c>
      <c r="B84" s="21" t="s">
        <v>67</v>
      </c>
      <c r="C84" s="21" t="s">
        <v>27</v>
      </c>
      <c r="D84" s="21" t="s">
        <v>68</v>
      </c>
      <c r="E84" s="21" t="s">
        <v>29</v>
      </c>
      <c r="F84" s="21" t="s">
        <v>18</v>
      </c>
    </row>
    <row r="85" spans="1:6" ht="15" thickBot="1" x14ac:dyDescent="0.35">
      <c r="A85" s="41" t="s">
        <v>30</v>
      </c>
      <c r="B85" s="22" t="s">
        <v>31</v>
      </c>
      <c r="C85" s="23">
        <v>44972</v>
      </c>
      <c r="D85" s="41" t="s">
        <v>32</v>
      </c>
      <c r="E85" s="24" t="s">
        <v>33</v>
      </c>
      <c r="F85" s="25" t="s">
        <v>34</v>
      </c>
    </row>
    <row r="86" spans="1:6" ht="15" thickBot="1" x14ac:dyDescent="0.35">
      <c r="A86" s="42"/>
      <c r="B86" s="22" t="s">
        <v>35</v>
      </c>
      <c r="C86" s="26">
        <f>IF(C85="","",IF(AND(MONTH(C85)&gt;=1,MONTH(C85)&lt;=3),1,IF(AND(MONTH(C85)&gt;=4,MONTH(C85)&lt;=6),2,IF(AND(MONTH(C85)&gt;=7,MONTH(C85)&lt;=9),3,4))))</f>
        <v>1</v>
      </c>
      <c r="D86" s="42"/>
      <c r="E86" s="24" t="s">
        <v>36</v>
      </c>
      <c r="F86" s="25" t="s">
        <v>37</v>
      </c>
    </row>
    <row r="87" spans="1:6" ht="15" thickBot="1" x14ac:dyDescent="0.35">
      <c r="A87" s="42"/>
      <c r="B87" s="22" t="s">
        <v>38</v>
      </c>
      <c r="C87" s="23">
        <v>45031</v>
      </c>
      <c r="D87" s="42"/>
      <c r="E87" s="24" t="s">
        <v>39</v>
      </c>
      <c r="F87" s="25" t="s">
        <v>37</v>
      </c>
    </row>
    <row r="88" spans="1:6" ht="15" thickBot="1" x14ac:dyDescent="0.35">
      <c r="A88" s="42"/>
      <c r="B88" s="22" t="s">
        <v>35</v>
      </c>
      <c r="C88" s="26">
        <f>IF(C87="","",IF(AND(MONTH(C87)&gt;=1,MONTH(C87)&lt;=3),1,IF(AND(MONTH(C87)&gt;=4,MONTH(C87)&lt;=6),2,IF(AND(MONTH(C87)&gt;=7,MONTH(C87)&lt;=9),3,4))))</f>
        <v>2</v>
      </c>
      <c r="D88" s="42"/>
      <c r="E88" s="24" t="s">
        <v>40</v>
      </c>
      <c r="F88" s="25"/>
    </row>
    <row r="89" spans="1:6" ht="15" thickBot="1" x14ac:dyDescent="0.35">
      <c r="A89" s="19"/>
      <c r="B89" s="19"/>
      <c r="C89" s="19"/>
      <c r="D89" s="19"/>
      <c r="E89" s="19"/>
      <c r="F89" s="19"/>
    </row>
    <row r="90" spans="1:6" ht="15" thickBot="1" x14ac:dyDescent="0.35">
      <c r="A90" s="27" t="s">
        <v>41</v>
      </c>
      <c r="B90" s="27" t="s">
        <v>42</v>
      </c>
      <c r="C90" s="27" t="s">
        <v>43</v>
      </c>
      <c r="D90" s="27" t="s">
        <v>44</v>
      </c>
      <c r="E90" s="27" t="s">
        <v>45</v>
      </c>
      <c r="F90" s="27" t="s">
        <v>46</v>
      </c>
    </row>
    <row r="91" spans="1:6" x14ac:dyDescent="0.3">
      <c r="A91" s="28" t="s">
        <v>69</v>
      </c>
      <c r="B91" s="29" t="str">
        <f ca="1">IFERROR(INDEX(UNSPSCDes,MATCH(INDIRECT(ADDRESS(ROW(),COLUMN()-1,4)),UNSPSCCode,0)),IF(INDIRECT(ADDRESS(ROW(),COLUMN()-1,4))="80141607","Gestión de eventos",""))</f>
        <v>Gestión de eventos</v>
      </c>
      <c r="C91" s="30" t="str">
        <f>IFERROR(VLOOKUP("PAQ",'[1]Informacion '!P:Q,2,FALSE),"")</f>
        <v>Paquete</v>
      </c>
      <c r="D91" s="28">
        <v>1</v>
      </c>
      <c r="E91" s="31">
        <v>40000000</v>
      </c>
      <c r="F91" s="32">
        <f ca="1">INDIRECT(ADDRESS(ROW(),COLUMN()-2,4))*INDIRECT(ADDRESS(ROW(),COLUMN()-1,4))</f>
        <v>40000000</v>
      </c>
    </row>
    <row r="92" spans="1:6" x14ac:dyDescent="0.3">
      <c r="A92" s="19"/>
      <c r="B92" s="19"/>
      <c r="C92" s="19"/>
      <c r="D92" s="19"/>
      <c r="E92" s="33" t="s">
        <v>48</v>
      </c>
      <c r="F92" s="34">
        <f ca="1">SUM(Table10[MONTO TOTAL ESTIMADO])</f>
        <v>40000000</v>
      </c>
    </row>
    <row r="93" spans="1:6" ht="15" thickBot="1" x14ac:dyDescent="0.35">
      <c r="A93" s="19"/>
      <c r="B93" s="19"/>
      <c r="C93" s="19"/>
      <c r="D93" s="19"/>
      <c r="E93" s="19"/>
      <c r="F93" s="19"/>
    </row>
    <row r="94" spans="1:6" ht="21" thickBot="1" x14ac:dyDescent="0.35">
      <c r="A94" s="20" t="s">
        <v>19</v>
      </c>
      <c r="B94" s="20" t="s">
        <v>20</v>
      </c>
      <c r="C94" s="20" t="s">
        <v>21</v>
      </c>
      <c r="D94" s="20" t="s">
        <v>22</v>
      </c>
      <c r="E94" s="20" t="s">
        <v>23</v>
      </c>
      <c r="F94" s="20" t="s">
        <v>24</v>
      </c>
    </row>
    <row r="95" spans="1:6" ht="15" thickBot="1" x14ac:dyDescent="0.35">
      <c r="A95" s="21" t="s">
        <v>70</v>
      </c>
      <c r="B95" s="21" t="s">
        <v>71</v>
      </c>
      <c r="C95" s="21" t="s">
        <v>27</v>
      </c>
      <c r="D95" s="21" t="s">
        <v>28</v>
      </c>
      <c r="E95" s="21" t="s">
        <v>29</v>
      </c>
      <c r="F95" s="21" t="s">
        <v>18</v>
      </c>
    </row>
    <row r="96" spans="1:6" ht="15" thickBot="1" x14ac:dyDescent="0.35">
      <c r="A96" s="41" t="s">
        <v>30</v>
      </c>
      <c r="B96" s="22" t="s">
        <v>31</v>
      </c>
      <c r="C96" s="23">
        <v>45153</v>
      </c>
      <c r="D96" s="41" t="s">
        <v>32</v>
      </c>
      <c r="E96" s="24" t="s">
        <v>33</v>
      </c>
      <c r="F96" s="25" t="s">
        <v>34</v>
      </c>
    </row>
    <row r="97" spans="1:6" ht="15" thickBot="1" x14ac:dyDescent="0.35">
      <c r="A97" s="42"/>
      <c r="B97" s="22" t="s">
        <v>35</v>
      </c>
      <c r="C97" s="26">
        <f>IF(C96="","",IF(AND(MONTH(C96)&gt;=1,MONTH(C96)&lt;=3),1,IF(AND(MONTH(C96)&gt;=4,MONTH(C96)&lt;=6),2,IF(AND(MONTH(C96)&gt;=7,MONTH(C96)&lt;=9),3,4))))</f>
        <v>3</v>
      </c>
      <c r="D97" s="42"/>
      <c r="E97" s="24" t="s">
        <v>36</v>
      </c>
      <c r="F97" s="25" t="s">
        <v>37</v>
      </c>
    </row>
    <row r="98" spans="1:6" ht="15" thickBot="1" x14ac:dyDescent="0.35">
      <c r="A98" s="42"/>
      <c r="B98" s="22" t="s">
        <v>38</v>
      </c>
      <c r="C98" s="23">
        <v>45184</v>
      </c>
      <c r="D98" s="42"/>
      <c r="E98" s="24" t="s">
        <v>39</v>
      </c>
      <c r="F98" s="25" t="s">
        <v>37</v>
      </c>
    </row>
    <row r="99" spans="1:6" ht="15" thickBot="1" x14ac:dyDescent="0.35">
      <c r="A99" s="42"/>
      <c r="B99" s="22" t="s">
        <v>35</v>
      </c>
      <c r="C99" s="26">
        <f>IF(C98="","",IF(AND(MONTH(C98)&gt;=1,MONTH(C98)&lt;=3),1,IF(AND(MONTH(C98)&gt;=4,MONTH(C98)&lt;=6),2,IF(AND(MONTH(C98)&gt;=7,MONTH(C98)&lt;=9),3,4))))</f>
        <v>3</v>
      </c>
      <c r="D99" s="42"/>
      <c r="E99" s="24" t="s">
        <v>40</v>
      </c>
      <c r="F99" s="25"/>
    </row>
    <row r="100" spans="1:6" ht="15" thickBot="1" x14ac:dyDescent="0.35">
      <c r="A100" s="19"/>
      <c r="B100" s="19"/>
      <c r="C100" s="19"/>
      <c r="D100" s="19"/>
      <c r="E100" s="19"/>
      <c r="F100" s="19"/>
    </row>
    <row r="101" spans="1:6" ht="15" thickBot="1" x14ac:dyDescent="0.35">
      <c r="A101" s="27" t="s">
        <v>41</v>
      </c>
      <c r="B101" s="27" t="s">
        <v>42</v>
      </c>
      <c r="C101" s="27" t="s">
        <v>43</v>
      </c>
      <c r="D101" s="27" t="s">
        <v>44</v>
      </c>
      <c r="E101" s="27" t="s">
        <v>45</v>
      </c>
      <c r="F101" s="27" t="s">
        <v>46</v>
      </c>
    </row>
    <row r="102" spans="1:6" ht="20.399999999999999" x14ac:dyDescent="0.3">
      <c r="A102" s="28" t="s">
        <v>72</v>
      </c>
      <c r="B102" s="29" t="str">
        <f ca="1">IFERROR(INDEX(UNSPSCDes,MATCH(INDIRECT(ADDRESS(ROW(),COLUMN()-1,4)),UNSPSCCode,0)),IF(INDIRECT(ADDRESS(ROW(),COLUMN()-1,4))="84111603","Auditorias internas",""))</f>
        <v>Auditorias internas</v>
      </c>
      <c r="C102" s="30" t="str">
        <f>IFERROR(VLOOKUP("PAQ",'[1]Informacion '!P:Q,2,FALSE),"")</f>
        <v>Paquete</v>
      </c>
      <c r="D102" s="28">
        <v>1</v>
      </c>
      <c r="E102" s="31">
        <v>1534000</v>
      </c>
      <c r="F102" s="32">
        <f ca="1">INDIRECT(ADDRESS(ROW(),COLUMN()-2,4))*INDIRECT(ADDRESS(ROW(),COLUMN()-1,4))</f>
        <v>1534000</v>
      </c>
    </row>
    <row r="103" spans="1:6" x14ac:dyDescent="0.3">
      <c r="A103" s="19"/>
      <c r="B103" s="19"/>
      <c r="C103" s="19"/>
      <c r="D103" s="19"/>
      <c r="E103" s="33" t="s">
        <v>48</v>
      </c>
      <c r="F103" s="34">
        <f ca="1">SUM(Table11[MONTO TOTAL ESTIMADO])</f>
        <v>1534000</v>
      </c>
    </row>
    <row r="104" spans="1:6" ht="15" thickBot="1" x14ac:dyDescent="0.35">
      <c r="A104" s="19"/>
      <c r="B104" s="19"/>
      <c r="C104" s="19"/>
      <c r="D104" s="19"/>
      <c r="E104" s="19"/>
      <c r="F104" s="19"/>
    </row>
    <row r="105" spans="1:6" ht="21" thickBot="1" x14ac:dyDescent="0.35">
      <c r="A105" s="20" t="s">
        <v>19</v>
      </c>
      <c r="B105" s="20" t="s">
        <v>20</v>
      </c>
      <c r="C105" s="20" t="s">
        <v>21</v>
      </c>
      <c r="D105" s="20" t="s">
        <v>22</v>
      </c>
      <c r="E105" s="20" t="s">
        <v>23</v>
      </c>
      <c r="F105" s="20" t="s">
        <v>24</v>
      </c>
    </row>
    <row r="106" spans="1:6" ht="15" thickBot="1" x14ac:dyDescent="0.35">
      <c r="A106" s="21" t="s">
        <v>73</v>
      </c>
      <c r="B106" s="21" t="s">
        <v>74</v>
      </c>
      <c r="C106" s="21" t="s">
        <v>27</v>
      </c>
      <c r="D106" s="21" t="s">
        <v>61</v>
      </c>
      <c r="E106" s="21" t="s">
        <v>54</v>
      </c>
      <c r="F106" s="21" t="s">
        <v>18</v>
      </c>
    </row>
    <row r="107" spans="1:6" ht="15" thickBot="1" x14ac:dyDescent="0.35">
      <c r="A107" s="41" t="s">
        <v>30</v>
      </c>
      <c r="B107" s="22" t="s">
        <v>31</v>
      </c>
      <c r="C107" s="23">
        <v>45000</v>
      </c>
      <c r="D107" s="41" t="s">
        <v>32</v>
      </c>
      <c r="E107" s="24" t="s">
        <v>33</v>
      </c>
      <c r="F107" s="25" t="s">
        <v>34</v>
      </c>
    </row>
    <row r="108" spans="1:6" ht="15" thickBot="1" x14ac:dyDescent="0.35">
      <c r="A108" s="42"/>
      <c r="B108" s="22" t="s">
        <v>35</v>
      </c>
      <c r="C108" s="26">
        <f>IF(C107="","",IF(AND(MONTH(C107)&gt;=1,MONTH(C107)&lt;=3),1,IF(AND(MONTH(C107)&gt;=4,MONTH(C107)&lt;=6),2,IF(AND(MONTH(C107)&gt;=7,MONTH(C107)&lt;=9),3,4))))</f>
        <v>1</v>
      </c>
      <c r="D108" s="42"/>
      <c r="E108" s="24" t="s">
        <v>36</v>
      </c>
      <c r="F108" s="25" t="s">
        <v>37</v>
      </c>
    </row>
    <row r="109" spans="1:6" ht="15" thickBot="1" x14ac:dyDescent="0.35">
      <c r="A109" s="42"/>
      <c r="B109" s="22" t="s">
        <v>38</v>
      </c>
      <c r="C109" s="23">
        <v>45061</v>
      </c>
      <c r="D109" s="42"/>
      <c r="E109" s="24" t="s">
        <v>39</v>
      </c>
      <c r="F109" s="25" t="s">
        <v>37</v>
      </c>
    </row>
    <row r="110" spans="1:6" ht="15" thickBot="1" x14ac:dyDescent="0.35">
      <c r="A110" s="42"/>
      <c r="B110" s="22" t="s">
        <v>35</v>
      </c>
      <c r="C110" s="26">
        <f>IF(C109="","",IF(AND(MONTH(C109)&gt;=1,MONTH(C109)&lt;=3),1,IF(AND(MONTH(C109)&gt;=4,MONTH(C109)&lt;=6),2,IF(AND(MONTH(C109)&gt;=7,MONTH(C109)&lt;=9),3,4))))</f>
        <v>2</v>
      </c>
      <c r="D110" s="42"/>
      <c r="E110" s="24" t="s">
        <v>40</v>
      </c>
      <c r="F110" s="25"/>
    </row>
    <row r="111" spans="1:6" ht="15" thickBot="1" x14ac:dyDescent="0.35">
      <c r="A111" s="19"/>
      <c r="B111" s="19"/>
      <c r="C111" s="19"/>
      <c r="D111" s="19"/>
      <c r="E111" s="19"/>
      <c r="F111" s="19"/>
    </row>
    <row r="112" spans="1:6" ht="15" thickBot="1" x14ac:dyDescent="0.35">
      <c r="A112" s="27" t="s">
        <v>41</v>
      </c>
      <c r="B112" s="27" t="s">
        <v>42</v>
      </c>
      <c r="C112" s="27" t="s">
        <v>43</v>
      </c>
      <c r="D112" s="27" t="s">
        <v>44</v>
      </c>
      <c r="E112" s="27" t="s">
        <v>45</v>
      </c>
      <c r="F112" s="27" t="s">
        <v>46</v>
      </c>
    </row>
    <row r="113" spans="1:6" x14ac:dyDescent="0.3">
      <c r="A113" s="28" t="s">
        <v>75</v>
      </c>
      <c r="B113" s="29" t="str">
        <f ca="1">IFERROR(INDEX(UNSPSCDes,MATCH(INDIRECT(ADDRESS(ROW(),COLUMN()-1,4)),UNSPSCCode,0)),IF(INDIRECT(ADDRESS(ROW(),COLUMN()-1,4))="81151604","Agrimensura",""))</f>
        <v>Agrimensura</v>
      </c>
      <c r="C113" s="30" t="str">
        <f>IFERROR(VLOOKUP("UD",'[1]Informacion '!P:Q,2,FALSE),"")</f>
        <v>Unidad</v>
      </c>
      <c r="D113" s="28">
        <v>700</v>
      </c>
      <c r="E113" s="31">
        <v>7000</v>
      </c>
      <c r="F113" s="32">
        <f ca="1">INDIRECT(ADDRESS(ROW(),COLUMN()-2,4))*INDIRECT(ADDRESS(ROW(),COLUMN()-1,4))</f>
        <v>4900000</v>
      </c>
    </row>
    <row r="114" spans="1:6" x14ac:dyDescent="0.3">
      <c r="A114" s="19"/>
      <c r="B114" s="19"/>
      <c r="C114" s="19"/>
      <c r="D114" s="19"/>
      <c r="E114" s="33" t="s">
        <v>48</v>
      </c>
      <c r="F114" s="34">
        <f ca="1">SUM(Table12[MONTO TOTAL ESTIMADO])</f>
        <v>4900000</v>
      </c>
    </row>
    <row r="115" spans="1:6" ht="15" thickBot="1" x14ac:dyDescent="0.35">
      <c r="A115" s="19"/>
      <c r="B115" s="19"/>
      <c r="C115" s="19"/>
      <c r="D115" s="19"/>
      <c r="E115" s="19"/>
      <c r="F115" s="19"/>
    </row>
    <row r="116" spans="1:6" ht="21" thickBot="1" x14ac:dyDescent="0.35">
      <c r="A116" s="20" t="s">
        <v>19</v>
      </c>
      <c r="B116" s="20" t="s">
        <v>20</v>
      </c>
      <c r="C116" s="20" t="s">
        <v>21</v>
      </c>
      <c r="D116" s="20" t="s">
        <v>22</v>
      </c>
      <c r="E116" s="20" t="s">
        <v>23</v>
      </c>
      <c r="F116" s="20" t="s">
        <v>24</v>
      </c>
    </row>
    <row r="117" spans="1:6" ht="15" thickBot="1" x14ac:dyDescent="0.35">
      <c r="A117" s="21" t="s">
        <v>76</v>
      </c>
      <c r="B117" s="21" t="s">
        <v>77</v>
      </c>
      <c r="C117" s="21" t="s">
        <v>27</v>
      </c>
      <c r="D117" s="21" t="s">
        <v>68</v>
      </c>
      <c r="E117" s="21" t="s">
        <v>29</v>
      </c>
      <c r="F117" s="21" t="s">
        <v>18</v>
      </c>
    </row>
    <row r="118" spans="1:6" ht="15" thickBot="1" x14ac:dyDescent="0.35">
      <c r="A118" s="41" t="s">
        <v>30</v>
      </c>
      <c r="B118" s="22" t="s">
        <v>31</v>
      </c>
      <c r="C118" s="23">
        <v>44972</v>
      </c>
      <c r="D118" s="41" t="s">
        <v>32</v>
      </c>
      <c r="E118" s="24" t="s">
        <v>33</v>
      </c>
      <c r="F118" s="25" t="s">
        <v>34</v>
      </c>
    </row>
    <row r="119" spans="1:6" ht="15" thickBot="1" x14ac:dyDescent="0.35">
      <c r="A119" s="42"/>
      <c r="B119" s="22" t="s">
        <v>35</v>
      </c>
      <c r="C119" s="26">
        <f>IF(C118="","",IF(AND(MONTH(C118)&gt;=1,MONTH(C118)&lt;=3),1,IF(AND(MONTH(C118)&gt;=4,MONTH(C118)&lt;=6),2,IF(AND(MONTH(C118)&gt;=7,MONTH(C118)&lt;=9),3,4))))</f>
        <v>1</v>
      </c>
      <c r="D119" s="42"/>
      <c r="E119" s="24" t="s">
        <v>36</v>
      </c>
      <c r="F119" s="25" t="s">
        <v>37</v>
      </c>
    </row>
    <row r="120" spans="1:6" ht="15" thickBot="1" x14ac:dyDescent="0.35">
      <c r="A120" s="42"/>
      <c r="B120" s="22" t="s">
        <v>38</v>
      </c>
      <c r="C120" s="23">
        <v>45061</v>
      </c>
      <c r="D120" s="42"/>
      <c r="E120" s="24" t="s">
        <v>39</v>
      </c>
      <c r="F120" s="25" t="s">
        <v>37</v>
      </c>
    </row>
    <row r="121" spans="1:6" ht="15" thickBot="1" x14ac:dyDescent="0.35">
      <c r="A121" s="42"/>
      <c r="B121" s="22" t="s">
        <v>35</v>
      </c>
      <c r="C121" s="26">
        <f>IF(C120="","",IF(AND(MONTH(C120)&gt;=1,MONTH(C120)&lt;=3),1,IF(AND(MONTH(C120)&gt;=4,MONTH(C120)&lt;=6),2,IF(AND(MONTH(C120)&gt;=7,MONTH(C120)&lt;=9),3,4))))</f>
        <v>2</v>
      </c>
      <c r="D121" s="42"/>
      <c r="E121" s="24" t="s">
        <v>40</v>
      </c>
      <c r="F121" s="25"/>
    </row>
    <row r="122" spans="1:6" ht="15" thickBot="1" x14ac:dyDescent="0.35">
      <c r="A122" s="19"/>
      <c r="B122" s="19"/>
      <c r="C122" s="19"/>
      <c r="D122" s="19"/>
      <c r="E122" s="19"/>
      <c r="F122" s="19"/>
    </row>
    <row r="123" spans="1:6" ht="15" thickBot="1" x14ac:dyDescent="0.35">
      <c r="A123" s="27" t="s">
        <v>41</v>
      </c>
      <c r="B123" s="27" t="s">
        <v>42</v>
      </c>
      <c r="C123" s="27" t="s">
        <v>43</v>
      </c>
      <c r="D123" s="27" t="s">
        <v>44</v>
      </c>
      <c r="E123" s="27" t="s">
        <v>45</v>
      </c>
      <c r="F123" s="27" t="s">
        <v>46</v>
      </c>
    </row>
    <row r="124" spans="1:6" x14ac:dyDescent="0.3">
      <c r="A124" s="28" t="s">
        <v>78</v>
      </c>
      <c r="B124" s="29" t="str">
        <f ca="1">IFERROR(INDEX(UNSPSCDes,MATCH(INDIRECT(ADDRESS(ROW(),COLUMN()-1,4)),UNSPSCCode,0)),IF(INDIRECT(ADDRESS(ROW(),COLUMN()-1,4))="90101604","Servicios de cáterin en la obra o lugar de trabajo",""))</f>
        <v>Servicios de cáterin en la obra o lugar de trabajo</v>
      </c>
      <c r="C124" s="30" t="str">
        <f>IFERROR(VLOOKUP("UD",'[1]Informacion '!P:Q,2,FALSE),"")</f>
        <v>Unidad</v>
      </c>
      <c r="D124" s="28">
        <v>82800</v>
      </c>
      <c r="E124" s="31">
        <v>385</v>
      </c>
      <c r="F124" s="32">
        <f ca="1">INDIRECT(ADDRESS(ROW(),COLUMN()-2,4))*INDIRECT(ADDRESS(ROW(),COLUMN()-1,4))</f>
        <v>31878000</v>
      </c>
    </row>
    <row r="125" spans="1:6" x14ac:dyDescent="0.3">
      <c r="A125" s="19"/>
      <c r="B125" s="19"/>
      <c r="C125" s="19"/>
      <c r="D125" s="19"/>
      <c r="E125" s="33" t="s">
        <v>48</v>
      </c>
      <c r="F125" s="34">
        <f ca="1">SUM(Table13[MONTO TOTAL ESTIMADO])</f>
        <v>31878000</v>
      </c>
    </row>
    <row r="126" spans="1:6" ht="15" thickBot="1" x14ac:dyDescent="0.35">
      <c r="A126" s="19"/>
      <c r="B126" s="19"/>
      <c r="C126" s="19"/>
      <c r="D126" s="19"/>
      <c r="E126" s="19"/>
      <c r="F126" s="19"/>
    </row>
    <row r="127" spans="1:6" ht="21" thickBot="1" x14ac:dyDescent="0.35">
      <c r="A127" s="20" t="s">
        <v>19</v>
      </c>
      <c r="B127" s="20" t="s">
        <v>20</v>
      </c>
      <c r="C127" s="20" t="s">
        <v>21</v>
      </c>
      <c r="D127" s="20" t="s">
        <v>22</v>
      </c>
      <c r="E127" s="20" t="s">
        <v>23</v>
      </c>
      <c r="F127" s="20" t="s">
        <v>24</v>
      </c>
    </row>
    <row r="128" spans="1:6" ht="15" thickBot="1" x14ac:dyDescent="0.35">
      <c r="A128" s="21" t="s">
        <v>79</v>
      </c>
      <c r="B128" s="21" t="s">
        <v>80</v>
      </c>
      <c r="C128" s="21" t="s">
        <v>27</v>
      </c>
      <c r="D128" s="21" t="s">
        <v>61</v>
      </c>
      <c r="E128" s="21" t="s">
        <v>29</v>
      </c>
      <c r="F128" s="21" t="s">
        <v>18</v>
      </c>
    </row>
    <row r="129" spans="1:6" ht="15" thickBot="1" x14ac:dyDescent="0.35">
      <c r="A129" s="41" t="s">
        <v>30</v>
      </c>
      <c r="B129" s="22" t="s">
        <v>31</v>
      </c>
      <c r="C129" s="23">
        <v>44972</v>
      </c>
      <c r="D129" s="41" t="s">
        <v>32</v>
      </c>
      <c r="E129" s="24" t="s">
        <v>33</v>
      </c>
      <c r="F129" s="25" t="s">
        <v>34</v>
      </c>
    </row>
    <row r="130" spans="1:6" ht="15" thickBot="1" x14ac:dyDescent="0.35">
      <c r="A130" s="42"/>
      <c r="B130" s="22" t="s">
        <v>35</v>
      </c>
      <c r="C130" s="26">
        <f>IF(C129="","",IF(AND(MONTH(C129)&gt;=1,MONTH(C129)&lt;=3),1,IF(AND(MONTH(C129)&gt;=4,MONTH(C129)&lt;=6),2,IF(AND(MONTH(C129)&gt;=7,MONTH(C129)&lt;=9),3,4))))</f>
        <v>1</v>
      </c>
      <c r="D130" s="42"/>
      <c r="E130" s="24" t="s">
        <v>36</v>
      </c>
      <c r="F130" s="25" t="s">
        <v>37</v>
      </c>
    </row>
    <row r="131" spans="1:6" ht="15" thickBot="1" x14ac:dyDescent="0.35">
      <c r="A131" s="42"/>
      <c r="B131" s="22" t="s">
        <v>38</v>
      </c>
      <c r="C131" s="23">
        <v>45000</v>
      </c>
      <c r="D131" s="42"/>
      <c r="E131" s="24" t="s">
        <v>39</v>
      </c>
      <c r="F131" s="25" t="s">
        <v>37</v>
      </c>
    </row>
    <row r="132" spans="1:6" ht="15" thickBot="1" x14ac:dyDescent="0.35">
      <c r="A132" s="42"/>
      <c r="B132" s="22" t="s">
        <v>35</v>
      </c>
      <c r="C132" s="26">
        <f>IF(C131="","",IF(AND(MONTH(C131)&gt;=1,MONTH(C131)&lt;=3),1,IF(AND(MONTH(C131)&gt;=4,MONTH(C131)&lt;=6),2,IF(AND(MONTH(C131)&gt;=7,MONTH(C131)&lt;=9),3,4))))</f>
        <v>1</v>
      </c>
      <c r="D132" s="42"/>
      <c r="E132" s="24" t="s">
        <v>40</v>
      </c>
      <c r="F132" s="25"/>
    </row>
    <row r="133" spans="1:6" ht="15" thickBot="1" x14ac:dyDescent="0.35">
      <c r="A133" s="19"/>
      <c r="B133" s="19"/>
      <c r="C133" s="19"/>
      <c r="D133" s="19"/>
      <c r="E133" s="19"/>
      <c r="F133" s="19"/>
    </row>
    <row r="134" spans="1:6" ht="15" thickBot="1" x14ac:dyDescent="0.35">
      <c r="A134" s="27" t="s">
        <v>41</v>
      </c>
      <c r="B134" s="27" t="s">
        <v>42</v>
      </c>
      <c r="C134" s="27" t="s">
        <v>43</v>
      </c>
      <c r="D134" s="27" t="s">
        <v>44</v>
      </c>
      <c r="E134" s="27" t="s">
        <v>45</v>
      </c>
      <c r="F134" s="27" t="s">
        <v>46</v>
      </c>
    </row>
    <row r="135" spans="1:6" x14ac:dyDescent="0.3">
      <c r="A135" s="28" t="s">
        <v>81</v>
      </c>
      <c r="B135" s="29" t="str">
        <f ca="1">IFERROR(INDEX(UNSPSCDes,MATCH(INDIRECT(ADDRESS(ROW(),COLUMN()-1,4)),UNSPSCCode,0)),IF(INDIRECT(ADDRESS(ROW(),COLUMN()-1,4))="90101603","Servicios de cáterin",""))</f>
        <v>Servicios de cáterin</v>
      </c>
      <c r="C135" s="30" t="str">
        <f>IFERROR(VLOOKUP("PAQ",'[1]Informacion '!P:Q,2,FALSE),"")</f>
        <v>Paquete</v>
      </c>
      <c r="D135" s="28">
        <v>1</v>
      </c>
      <c r="E135" s="31">
        <v>5130942.0999999996</v>
      </c>
      <c r="F135" s="32">
        <f ca="1">INDIRECT(ADDRESS(ROW(),COLUMN()-2,4))*INDIRECT(ADDRESS(ROW(),COLUMN()-1,4))</f>
        <v>5130942.0999999996</v>
      </c>
    </row>
    <row r="136" spans="1:6" x14ac:dyDescent="0.3">
      <c r="A136" s="19"/>
      <c r="B136" s="19"/>
      <c r="C136" s="19"/>
      <c r="D136" s="19"/>
      <c r="E136" s="33" t="s">
        <v>48</v>
      </c>
      <c r="F136" s="34">
        <f ca="1">SUM(Table14[MONTO TOTAL ESTIMADO])</f>
        <v>5130942.0999999996</v>
      </c>
    </row>
    <row r="137" spans="1:6" ht="15" thickBot="1" x14ac:dyDescent="0.35">
      <c r="A137" s="19"/>
      <c r="B137" s="19"/>
      <c r="C137" s="19"/>
      <c r="D137" s="19"/>
      <c r="E137" s="19"/>
      <c r="F137" s="19"/>
    </row>
    <row r="138" spans="1:6" ht="21" thickBot="1" x14ac:dyDescent="0.35">
      <c r="A138" s="20" t="s">
        <v>19</v>
      </c>
      <c r="B138" s="20" t="s">
        <v>20</v>
      </c>
      <c r="C138" s="20" t="s">
        <v>21</v>
      </c>
      <c r="D138" s="20" t="s">
        <v>22</v>
      </c>
      <c r="E138" s="20" t="s">
        <v>23</v>
      </c>
      <c r="F138" s="20" t="s">
        <v>24</v>
      </c>
    </row>
    <row r="139" spans="1:6" ht="15" thickBot="1" x14ac:dyDescent="0.35">
      <c r="A139" s="21" t="s">
        <v>82</v>
      </c>
      <c r="B139" s="21" t="s">
        <v>83</v>
      </c>
      <c r="C139" s="21" t="s">
        <v>60</v>
      </c>
      <c r="D139" s="21" t="s">
        <v>28</v>
      </c>
      <c r="E139" s="21" t="s">
        <v>54</v>
      </c>
      <c r="F139" s="21" t="s">
        <v>18</v>
      </c>
    </row>
    <row r="140" spans="1:6" ht="15" thickBot="1" x14ac:dyDescent="0.35">
      <c r="A140" s="41" t="s">
        <v>30</v>
      </c>
      <c r="B140" s="22" t="s">
        <v>31</v>
      </c>
      <c r="C140" s="23">
        <v>44972</v>
      </c>
      <c r="D140" s="41" t="s">
        <v>32</v>
      </c>
      <c r="E140" s="24" t="s">
        <v>33</v>
      </c>
      <c r="F140" s="25" t="s">
        <v>34</v>
      </c>
    </row>
    <row r="141" spans="1:6" ht="15" thickBot="1" x14ac:dyDescent="0.35">
      <c r="A141" s="42"/>
      <c r="B141" s="22" t="s">
        <v>35</v>
      </c>
      <c r="C141" s="26">
        <f>IF(C140="","",IF(AND(MONTH(C140)&gt;=1,MONTH(C140)&lt;=3),1,IF(AND(MONTH(C140)&gt;=4,MONTH(C140)&lt;=6),2,IF(AND(MONTH(C140)&gt;=7,MONTH(C140)&lt;=9),3,4))))</f>
        <v>1</v>
      </c>
      <c r="D141" s="42"/>
      <c r="E141" s="24" t="s">
        <v>36</v>
      </c>
      <c r="F141" s="25" t="s">
        <v>37</v>
      </c>
    </row>
    <row r="142" spans="1:6" ht="15" thickBot="1" x14ac:dyDescent="0.35">
      <c r="A142" s="42"/>
      <c r="B142" s="22" t="s">
        <v>38</v>
      </c>
      <c r="C142" s="23">
        <v>45000</v>
      </c>
      <c r="D142" s="42"/>
      <c r="E142" s="24" t="s">
        <v>39</v>
      </c>
      <c r="F142" s="25" t="s">
        <v>37</v>
      </c>
    </row>
    <row r="143" spans="1:6" ht="15" thickBot="1" x14ac:dyDescent="0.35">
      <c r="A143" s="42"/>
      <c r="B143" s="22" t="s">
        <v>35</v>
      </c>
      <c r="C143" s="26">
        <f>IF(C142="","",IF(AND(MONTH(C142)&gt;=1,MONTH(C142)&lt;=3),1,IF(AND(MONTH(C142)&gt;=4,MONTH(C142)&lt;=6),2,IF(AND(MONTH(C142)&gt;=7,MONTH(C142)&lt;=9),3,4))))</f>
        <v>1</v>
      </c>
      <c r="D143" s="42"/>
      <c r="E143" s="24" t="s">
        <v>40</v>
      </c>
      <c r="F143" s="25"/>
    </row>
    <row r="144" spans="1:6" ht="15" thickBot="1" x14ac:dyDescent="0.35">
      <c r="A144" s="19"/>
      <c r="B144" s="19"/>
      <c r="C144" s="19"/>
      <c r="D144" s="19"/>
      <c r="E144" s="19"/>
      <c r="F144" s="19"/>
    </row>
    <row r="145" spans="1:6" ht="15" thickBot="1" x14ac:dyDescent="0.35">
      <c r="A145" s="27" t="s">
        <v>41</v>
      </c>
      <c r="B145" s="27" t="s">
        <v>42</v>
      </c>
      <c r="C145" s="27" t="s">
        <v>43</v>
      </c>
      <c r="D145" s="27" t="s">
        <v>44</v>
      </c>
      <c r="E145" s="27" t="s">
        <v>45</v>
      </c>
      <c r="F145" s="27" t="s">
        <v>46</v>
      </c>
    </row>
    <row r="146" spans="1:6" x14ac:dyDescent="0.3">
      <c r="A146" s="28" t="s">
        <v>84</v>
      </c>
      <c r="B146" s="29" t="str">
        <f ca="1">IFERROR(INDEX(UNSPSCDes,MATCH(INDIRECT(ADDRESS(ROW(),COLUMN()-1,4)),UNSPSCCode,0)),IF(INDIRECT(ADDRESS(ROW(),COLUMN()-1,4))="50201706","Café",""))</f>
        <v>Café</v>
      </c>
      <c r="C146" s="30" t="str">
        <f>IFERROR(VLOOKUP("PAQ",'[1]Informacion '!P:Q,2,FALSE),"")</f>
        <v>Paquete</v>
      </c>
      <c r="D146" s="28">
        <v>115</v>
      </c>
      <c r="E146" s="31">
        <v>5600</v>
      </c>
      <c r="F146" s="32">
        <f t="shared" ref="F146:F155" ca="1" si="0">INDIRECT(ADDRESS(ROW(),COLUMN()-2,4))*INDIRECT(ADDRESS(ROW(),COLUMN()-1,4))</f>
        <v>644000</v>
      </c>
    </row>
    <row r="147" spans="1:6" ht="40.799999999999997" x14ac:dyDescent="0.3">
      <c r="A147" s="28" t="s">
        <v>85</v>
      </c>
      <c r="B147" s="29" t="str">
        <f ca="1">IFERROR(INDEX(UNSPSCDes,MATCH(INDIRECT(ADDRESS(ROW(),COLUMN()-1,4)),UNSPSCCode,0)),IF(INDIRECT(ADDRESS(ROW(),COLUMN()-1,4))="50161509","Azucares naturales o productos endulzantes",""))</f>
        <v>Azucares naturales o productos endulzantes</v>
      </c>
      <c r="C147" s="30" t="str">
        <f>IFERROR(VLOOKUP("PAQ",'[1]Informacion '!P:Q,2,FALSE),"")</f>
        <v>Paquete</v>
      </c>
      <c r="D147" s="28">
        <v>500</v>
      </c>
      <c r="E147" s="31">
        <v>200</v>
      </c>
      <c r="F147" s="32">
        <f t="shared" ca="1" si="0"/>
        <v>100000</v>
      </c>
    </row>
    <row r="148" spans="1:6" x14ac:dyDescent="0.3">
      <c r="A148" s="28" t="s">
        <v>86</v>
      </c>
      <c r="B148" s="29" t="str">
        <f ca="1">IFERROR(INDEX(UNSPSCDes,MATCH(INDIRECT(ADDRESS(ROW(),COLUMN()-1,4)),UNSPSCCode,0)),IF(INDIRECT(ADDRESS(ROW(),COLUMN()-1,4))="50201714","Cremas no lácteas",""))</f>
        <v>Cremas no lácteas</v>
      </c>
      <c r="C148" s="30" t="str">
        <f>IFERROR(VLOOKUP("UD",'[1]Informacion '!P:Q,2,FALSE),"")</f>
        <v>Unidad</v>
      </c>
      <c r="D148" s="28">
        <v>175</v>
      </c>
      <c r="E148" s="31">
        <v>300</v>
      </c>
      <c r="F148" s="32">
        <f t="shared" ca="1" si="0"/>
        <v>52500</v>
      </c>
    </row>
    <row r="149" spans="1:6" ht="20.399999999999999" x14ac:dyDescent="0.3">
      <c r="A149" s="28" t="s">
        <v>87</v>
      </c>
      <c r="B149" s="29" t="str">
        <f ca="1">IFERROR(INDEX(UNSPSCDes,MATCH(INDIRECT(ADDRESS(ROW(),COLUMN()-1,4)),UNSPSCCode,0)),IF(INDIRECT(ADDRESS(ROW(),COLUMN()-1,4))="50171550","Especies o extractos",""))</f>
        <v>Especies o extractos</v>
      </c>
      <c r="C149" s="30" t="str">
        <f>IFERROR(VLOOKUP("PAQ",'[1]Informacion '!P:Q,2,FALSE),"")</f>
        <v>Paquete</v>
      </c>
      <c r="D149" s="28">
        <v>6</v>
      </c>
      <c r="E149" s="31">
        <v>120</v>
      </c>
      <c r="F149" s="32">
        <f t="shared" ca="1" si="0"/>
        <v>720</v>
      </c>
    </row>
    <row r="150" spans="1:6" x14ac:dyDescent="0.3">
      <c r="A150" s="28" t="s">
        <v>88</v>
      </c>
      <c r="B150" s="29" t="str">
        <f ca="1">IFERROR(INDEX(UNSPSCDes,MATCH(INDIRECT(ADDRESS(ROW(),COLUMN()-1,4)),UNSPSCCode,0)),IF(INDIRECT(ADDRESS(ROW(),COLUMN()-1,4))="50202301","Agua",""))</f>
        <v>Agua</v>
      </c>
      <c r="C150" s="30" t="str">
        <f>IFERROR(VLOOKUP("DEC",'[1]Informacion '!P:Q,2,FALSE),"")</f>
        <v>Decena</v>
      </c>
      <c r="D150" s="28">
        <v>4000</v>
      </c>
      <c r="E150" s="31">
        <v>150</v>
      </c>
      <c r="F150" s="32">
        <f t="shared" ca="1" si="0"/>
        <v>600000</v>
      </c>
    </row>
    <row r="151" spans="1:6" x14ac:dyDescent="0.3">
      <c r="A151" s="28" t="s">
        <v>89</v>
      </c>
      <c r="B151" s="29" t="str">
        <f ca="1">IFERROR(INDEX(UNSPSCDes,MATCH(INDIRECT(ADDRESS(ROW(),COLUMN()-1,4)),UNSPSCCode,0)),IF(INDIRECT(ADDRESS(ROW(),COLUMN()-1,4))="50201713","Bolsas de té",""))</f>
        <v>Bolsas de té</v>
      </c>
      <c r="C151" s="30" t="str">
        <f>IFERROR(VLOOKUP("PAQ",'[1]Informacion '!P:Q,2,FALSE),"")</f>
        <v>Paquete</v>
      </c>
      <c r="D151" s="28">
        <v>200</v>
      </c>
      <c r="E151" s="31">
        <v>170</v>
      </c>
      <c r="F151" s="32">
        <f t="shared" ca="1" si="0"/>
        <v>34000</v>
      </c>
    </row>
    <row r="152" spans="1:6" x14ac:dyDescent="0.3">
      <c r="A152" s="28" t="s">
        <v>90</v>
      </c>
      <c r="B152" s="29" t="str">
        <f ca="1">IFERROR(INDEX(UNSPSCDes,MATCH(INDIRECT(ADDRESS(ROW(),COLUMN()-1,4)),UNSPSCCode,0)),IF(INDIRECT(ADDRESS(ROW(),COLUMN()-1,4))="50201711","Té instantáneo",""))</f>
        <v>Té instantáneo</v>
      </c>
      <c r="C152" s="30" t="str">
        <f>IFERROR(VLOOKUP("UD",'[1]Informacion '!P:Q,2,FALSE),"")</f>
        <v>Unidad</v>
      </c>
      <c r="D152" s="28">
        <v>90</v>
      </c>
      <c r="E152" s="31">
        <v>400</v>
      </c>
      <c r="F152" s="32">
        <f t="shared" ca="1" si="0"/>
        <v>36000</v>
      </c>
    </row>
    <row r="153" spans="1:6" x14ac:dyDescent="0.3">
      <c r="A153" s="28" t="s">
        <v>91</v>
      </c>
      <c r="B153" s="29" t="str">
        <f ca="1">IFERROR(INDEX(UNSPSCDes,MATCH(INDIRECT(ADDRESS(ROW(),COLUMN()-1,4)),UNSPSCCode,0)),IF(INDIRECT(ADDRESS(ROW(),COLUMN()-1,4))="12164504","Endulzantes",""))</f>
        <v>Endulzantes</v>
      </c>
      <c r="C153" s="30" t="str">
        <f>IFERROR(VLOOKUP("CAJ",'[1]Informacion '!P:Q,2,FALSE),"")</f>
        <v>Caja</v>
      </c>
      <c r="D153" s="28">
        <v>20</v>
      </c>
      <c r="E153" s="31">
        <v>515</v>
      </c>
      <c r="F153" s="32">
        <f t="shared" ca="1" si="0"/>
        <v>10300</v>
      </c>
    </row>
    <row r="154" spans="1:6" ht="40.799999999999997" x14ac:dyDescent="0.3">
      <c r="A154" s="28" t="s">
        <v>85</v>
      </c>
      <c r="B154" s="29" t="str">
        <f ca="1">IFERROR(INDEX(UNSPSCDes,MATCH(INDIRECT(ADDRESS(ROW(),COLUMN()-1,4)),UNSPSCCode,0)),IF(INDIRECT(ADDRESS(ROW(),COLUMN()-1,4))="50161509","Azucares naturales o productos endulzantes",""))</f>
        <v>Azucares naturales o productos endulzantes</v>
      </c>
      <c r="C154" s="30" t="str">
        <f>IFERROR(VLOOKUP("PAQ",'[1]Informacion '!P:Q,2,FALSE),"")</f>
        <v>Paquete</v>
      </c>
      <c r="D154" s="28">
        <v>40</v>
      </c>
      <c r="E154" s="31">
        <v>650</v>
      </c>
      <c r="F154" s="32">
        <f t="shared" ca="1" si="0"/>
        <v>26000</v>
      </c>
    </row>
    <row r="155" spans="1:6" ht="40.799999999999997" x14ac:dyDescent="0.3">
      <c r="A155" s="28" t="s">
        <v>85</v>
      </c>
      <c r="B155" s="29" t="str">
        <f ca="1">IFERROR(INDEX(UNSPSCDes,MATCH(INDIRECT(ADDRESS(ROW(),COLUMN()-1,4)),UNSPSCCode,0)),IF(INDIRECT(ADDRESS(ROW(),COLUMN()-1,4))="50161509","Azucares naturales o productos endulzantes",""))</f>
        <v>Azucares naturales o productos endulzantes</v>
      </c>
      <c r="C155" s="30" t="str">
        <f>IFERROR(VLOOKUP("PAQ",'[1]Informacion '!P:Q,2,FALSE),"")</f>
        <v>Paquete</v>
      </c>
      <c r="D155" s="28">
        <v>40</v>
      </c>
      <c r="E155" s="31">
        <v>600</v>
      </c>
      <c r="F155" s="32">
        <f t="shared" ca="1" si="0"/>
        <v>24000</v>
      </c>
    </row>
    <row r="156" spans="1:6" x14ac:dyDescent="0.3">
      <c r="A156" s="19"/>
      <c r="B156" s="19"/>
      <c r="C156" s="19"/>
      <c r="D156" s="19"/>
      <c r="E156" s="33" t="s">
        <v>48</v>
      </c>
      <c r="F156" s="34">
        <f ca="1">SUM(Table15[MONTO TOTAL ESTIMADO])</f>
        <v>1527520</v>
      </c>
    </row>
    <row r="157" spans="1:6" ht="15" thickBot="1" x14ac:dyDescent="0.35">
      <c r="A157" s="19"/>
      <c r="B157" s="19"/>
      <c r="C157" s="19"/>
      <c r="D157" s="19"/>
      <c r="E157" s="19"/>
      <c r="F157" s="19"/>
    </row>
    <row r="158" spans="1:6" ht="21" thickBot="1" x14ac:dyDescent="0.35">
      <c r="A158" s="20" t="s">
        <v>19</v>
      </c>
      <c r="B158" s="20" t="s">
        <v>20</v>
      </c>
      <c r="C158" s="20" t="s">
        <v>21</v>
      </c>
      <c r="D158" s="20" t="s">
        <v>22</v>
      </c>
      <c r="E158" s="20" t="s">
        <v>23</v>
      </c>
      <c r="F158" s="20" t="s">
        <v>24</v>
      </c>
    </row>
    <row r="159" spans="1:6" ht="15" thickBot="1" x14ac:dyDescent="0.35">
      <c r="A159" s="21" t="s">
        <v>82</v>
      </c>
      <c r="B159" s="21" t="s">
        <v>83</v>
      </c>
      <c r="C159" s="21" t="s">
        <v>60</v>
      </c>
      <c r="D159" s="21" t="s">
        <v>28</v>
      </c>
      <c r="E159" s="21" t="s">
        <v>54</v>
      </c>
      <c r="F159" s="21" t="s">
        <v>18</v>
      </c>
    </row>
    <row r="160" spans="1:6" ht="15" thickBot="1" x14ac:dyDescent="0.35">
      <c r="A160" s="41" t="s">
        <v>30</v>
      </c>
      <c r="B160" s="22" t="s">
        <v>31</v>
      </c>
      <c r="C160" s="23">
        <v>45092</v>
      </c>
      <c r="D160" s="41" t="s">
        <v>32</v>
      </c>
      <c r="E160" s="24" t="s">
        <v>33</v>
      </c>
      <c r="F160" s="25" t="s">
        <v>34</v>
      </c>
    </row>
    <row r="161" spans="1:6" ht="15" thickBot="1" x14ac:dyDescent="0.35">
      <c r="A161" s="42"/>
      <c r="B161" s="22" t="s">
        <v>35</v>
      </c>
      <c r="C161" s="26">
        <f>IF(C160="","",IF(AND(MONTH(C160)&gt;=1,MONTH(C160)&lt;=3),1,IF(AND(MONTH(C160)&gt;=4,MONTH(C160)&lt;=6),2,IF(AND(MONTH(C160)&gt;=7,MONTH(C160)&lt;=9),3,4))))</f>
        <v>2</v>
      </c>
      <c r="D161" s="42"/>
      <c r="E161" s="24" t="s">
        <v>36</v>
      </c>
      <c r="F161" s="25" t="s">
        <v>37</v>
      </c>
    </row>
    <row r="162" spans="1:6" ht="15" thickBot="1" x14ac:dyDescent="0.35">
      <c r="A162" s="42"/>
      <c r="B162" s="22" t="s">
        <v>38</v>
      </c>
      <c r="C162" s="23">
        <v>45122</v>
      </c>
      <c r="D162" s="42"/>
      <c r="E162" s="24" t="s">
        <v>39</v>
      </c>
      <c r="F162" s="25" t="s">
        <v>37</v>
      </c>
    </row>
    <row r="163" spans="1:6" ht="15" thickBot="1" x14ac:dyDescent="0.35">
      <c r="A163" s="42"/>
      <c r="B163" s="22" t="s">
        <v>35</v>
      </c>
      <c r="C163" s="26">
        <f>IF(C162="","",IF(AND(MONTH(C162)&gt;=1,MONTH(C162)&lt;=3),1,IF(AND(MONTH(C162)&gt;=4,MONTH(C162)&lt;=6),2,IF(AND(MONTH(C162)&gt;=7,MONTH(C162)&lt;=9),3,4))))</f>
        <v>3</v>
      </c>
      <c r="D163" s="42"/>
      <c r="E163" s="24" t="s">
        <v>40</v>
      </c>
      <c r="F163" s="25"/>
    </row>
    <row r="164" spans="1:6" ht="15" thickBot="1" x14ac:dyDescent="0.35">
      <c r="A164" s="19"/>
      <c r="B164" s="19"/>
      <c r="C164" s="19"/>
      <c r="D164" s="19"/>
      <c r="E164" s="19"/>
      <c r="F164" s="19"/>
    </row>
    <row r="165" spans="1:6" ht="15" thickBot="1" x14ac:dyDescent="0.35">
      <c r="A165" s="27" t="s">
        <v>41</v>
      </c>
      <c r="B165" s="27" t="s">
        <v>42</v>
      </c>
      <c r="C165" s="27" t="s">
        <v>43</v>
      </c>
      <c r="D165" s="27" t="s">
        <v>44</v>
      </c>
      <c r="E165" s="27" t="s">
        <v>45</v>
      </c>
      <c r="F165" s="27" t="s">
        <v>46</v>
      </c>
    </row>
    <row r="166" spans="1:6" x14ac:dyDescent="0.3">
      <c r="A166" s="28" t="s">
        <v>84</v>
      </c>
      <c r="B166" s="29" t="str">
        <f ca="1">IFERROR(INDEX(UNSPSCDes,MATCH(INDIRECT(ADDRESS(ROW(),COLUMN()-1,4)),UNSPSCCode,0)),IF(INDIRECT(ADDRESS(ROW(),COLUMN()-1,4))="50201706","Café",""))</f>
        <v>Café</v>
      </c>
      <c r="C166" s="30" t="str">
        <f>IFERROR(VLOOKUP("PAQ",'[1]Informacion '!P:Q,2,FALSE),"")</f>
        <v>Paquete</v>
      </c>
      <c r="D166" s="28">
        <v>115</v>
      </c>
      <c r="E166" s="31">
        <v>5600</v>
      </c>
      <c r="F166" s="32">
        <f t="shared" ref="F166:F175" ca="1" si="1">INDIRECT(ADDRESS(ROW(),COLUMN()-2,4))*INDIRECT(ADDRESS(ROW(),COLUMN()-1,4))</f>
        <v>644000</v>
      </c>
    </row>
    <row r="167" spans="1:6" ht="40.799999999999997" x14ac:dyDescent="0.3">
      <c r="A167" s="28" t="s">
        <v>85</v>
      </c>
      <c r="B167" s="29" t="str">
        <f ca="1">IFERROR(INDEX(UNSPSCDes,MATCH(INDIRECT(ADDRESS(ROW(),COLUMN()-1,4)),UNSPSCCode,0)),IF(INDIRECT(ADDRESS(ROW(),COLUMN()-1,4))="50161509","Azucares naturales o productos endulzantes",""))</f>
        <v>Azucares naturales o productos endulzantes</v>
      </c>
      <c r="C167" s="30" t="str">
        <f>IFERROR(VLOOKUP("PAQ",'[1]Informacion '!P:Q,2,FALSE),"")</f>
        <v>Paquete</v>
      </c>
      <c r="D167" s="28">
        <v>500</v>
      </c>
      <c r="E167" s="31">
        <v>200</v>
      </c>
      <c r="F167" s="32">
        <f t="shared" ca="1" si="1"/>
        <v>100000</v>
      </c>
    </row>
    <row r="168" spans="1:6" x14ac:dyDescent="0.3">
      <c r="A168" s="28" t="s">
        <v>86</v>
      </c>
      <c r="B168" s="29" t="str">
        <f ca="1">IFERROR(INDEX(UNSPSCDes,MATCH(INDIRECT(ADDRESS(ROW(),COLUMN()-1,4)),UNSPSCCode,0)),IF(INDIRECT(ADDRESS(ROW(),COLUMN()-1,4))="50201714","Cremas no lácteas",""))</f>
        <v>Cremas no lácteas</v>
      </c>
      <c r="C168" s="30" t="str">
        <f>IFERROR(VLOOKUP("UD",'[1]Informacion '!P:Q,2,FALSE),"")</f>
        <v>Unidad</v>
      </c>
      <c r="D168" s="28">
        <v>175</v>
      </c>
      <c r="E168" s="31">
        <v>300</v>
      </c>
      <c r="F168" s="32">
        <f t="shared" ca="1" si="1"/>
        <v>52500</v>
      </c>
    </row>
    <row r="169" spans="1:6" ht="20.399999999999999" x14ac:dyDescent="0.3">
      <c r="A169" s="28" t="s">
        <v>87</v>
      </c>
      <c r="B169" s="29" t="str">
        <f ca="1">IFERROR(INDEX(UNSPSCDes,MATCH(INDIRECT(ADDRESS(ROW(),COLUMN()-1,4)),UNSPSCCode,0)),IF(INDIRECT(ADDRESS(ROW(),COLUMN()-1,4))="50171550","Especies o extractos",""))</f>
        <v>Especies o extractos</v>
      </c>
      <c r="C169" s="30" t="str">
        <f>IFERROR(VLOOKUP("PAQ",'[1]Informacion '!P:Q,2,FALSE),"")</f>
        <v>Paquete</v>
      </c>
      <c r="D169" s="28">
        <v>6</v>
      </c>
      <c r="E169" s="31">
        <v>120</v>
      </c>
      <c r="F169" s="32">
        <f t="shared" ca="1" si="1"/>
        <v>720</v>
      </c>
    </row>
    <row r="170" spans="1:6" x14ac:dyDescent="0.3">
      <c r="A170" s="28" t="s">
        <v>88</v>
      </c>
      <c r="B170" s="29" t="str">
        <f ca="1">IFERROR(INDEX(UNSPSCDes,MATCH(INDIRECT(ADDRESS(ROW(),COLUMN()-1,4)),UNSPSCCode,0)),IF(INDIRECT(ADDRESS(ROW(),COLUMN()-1,4))="50202301","Agua",""))</f>
        <v>Agua</v>
      </c>
      <c r="C170" s="30" t="str">
        <f>IFERROR(VLOOKUP("DEC",'[1]Informacion '!P:Q,2,FALSE),"")</f>
        <v>Decena</v>
      </c>
      <c r="D170" s="28">
        <v>4000</v>
      </c>
      <c r="E170" s="31">
        <v>150</v>
      </c>
      <c r="F170" s="32">
        <f t="shared" ca="1" si="1"/>
        <v>600000</v>
      </c>
    </row>
    <row r="171" spans="1:6" x14ac:dyDescent="0.3">
      <c r="A171" s="28" t="s">
        <v>89</v>
      </c>
      <c r="B171" s="29" t="str">
        <f ca="1">IFERROR(INDEX(UNSPSCDes,MATCH(INDIRECT(ADDRESS(ROW(),COLUMN()-1,4)),UNSPSCCode,0)),IF(INDIRECT(ADDRESS(ROW(),COLUMN()-1,4))="50201713","Bolsas de té",""))</f>
        <v>Bolsas de té</v>
      </c>
      <c r="C171" s="30" t="str">
        <f>IFERROR(VLOOKUP("PAQ",'[1]Informacion '!P:Q,2,FALSE),"")</f>
        <v>Paquete</v>
      </c>
      <c r="D171" s="28">
        <v>200</v>
      </c>
      <c r="E171" s="31">
        <v>170</v>
      </c>
      <c r="F171" s="32">
        <f t="shared" ca="1" si="1"/>
        <v>34000</v>
      </c>
    </row>
    <row r="172" spans="1:6" x14ac:dyDescent="0.3">
      <c r="A172" s="28" t="s">
        <v>90</v>
      </c>
      <c r="B172" s="29" t="str">
        <f ca="1">IFERROR(INDEX(UNSPSCDes,MATCH(INDIRECT(ADDRESS(ROW(),COLUMN()-1,4)),UNSPSCCode,0)),IF(INDIRECT(ADDRESS(ROW(),COLUMN()-1,4))="50201711","Té instantáneo",""))</f>
        <v>Té instantáneo</v>
      </c>
      <c r="C172" s="30" t="str">
        <f>IFERROR(VLOOKUP("UD",'[1]Informacion '!P:Q,2,FALSE),"")</f>
        <v>Unidad</v>
      </c>
      <c r="D172" s="28">
        <v>95</v>
      </c>
      <c r="E172" s="31">
        <v>400</v>
      </c>
      <c r="F172" s="32">
        <f t="shared" ca="1" si="1"/>
        <v>38000</v>
      </c>
    </row>
    <row r="173" spans="1:6" x14ac:dyDescent="0.3">
      <c r="A173" s="28" t="s">
        <v>91</v>
      </c>
      <c r="B173" s="29" t="str">
        <f ca="1">IFERROR(INDEX(UNSPSCDes,MATCH(INDIRECT(ADDRESS(ROW(),COLUMN()-1,4)),UNSPSCCode,0)),IF(INDIRECT(ADDRESS(ROW(),COLUMN()-1,4))="12164504","Endulzantes",""))</f>
        <v>Endulzantes</v>
      </c>
      <c r="C173" s="30" t="str">
        <f>IFERROR(VLOOKUP("CAJ",'[1]Informacion '!P:Q,2,FALSE),"")</f>
        <v>Caja</v>
      </c>
      <c r="D173" s="28">
        <v>20</v>
      </c>
      <c r="E173" s="31">
        <v>515</v>
      </c>
      <c r="F173" s="32">
        <f t="shared" ca="1" si="1"/>
        <v>10300</v>
      </c>
    </row>
    <row r="174" spans="1:6" ht="40.799999999999997" x14ac:dyDescent="0.3">
      <c r="A174" s="28" t="s">
        <v>85</v>
      </c>
      <c r="B174" s="29" t="str">
        <f ca="1">IFERROR(INDEX(UNSPSCDes,MATCH(INDIRECT(ADDRESS(ROW(),COLUMN()-1,4)),UNSPSCCode,0)),IF(INDIRECT(ADDRESS(ROW(),COLUMN()-1,4))="50161509","Azucares naturales o productos endulzantes",""))</f>
        <v>Azucares naturales o productos endulzantes</v>
      </c>
      <c r="C174" s="30" t="str">
        <f>IFERROR(VLOOKUP("PAQ",'[1]Informacion '!P:Q,2,FALSE),"")</f>
        <v>Paquete</v>
      </c>
      <c r="D174" s="28">
        <v>40</v>
      </c>
      <c r="E174" s="31">
        <v>650</v>
      </c>
      <c r="F174" s="32">
        <f t="shared" ca="1" si="1"/>
        <v>26000</v>
      </c>
    </row>
    <row r="175" spans="1:6" ht="40.799999999999997" x14ac:dyDescent="0.3">
      <c r="A175" s="28" t="s">
        <v>85</v>
      </c>
      <c r="B175" s="29" t="str">
        <f ca="1">IFERROR(INDEX(UNSPSCDes,MATCH(INDIRECT(ADDRESS(ROW(),COLUMN()-1,4)),UNSPSCCode,0)),IF(INDIRECT(ADDRESS(ROW(),COLUMN()-1,4))="50161509","Azucares naturales o productos endulzantes",""))</f>
        <v>Azucares naturales o productos endulzantes</v>
      </c>
      <c r="C175" s="30" t="str">
        <f>IFERROR(VLOOKUP("PAQ",'[1]Informacion '!P:Q,2,FALSE),"")</f>
        <v>Paquete</v>
      </c>
      <c r="D175" s="28">
        <v>40</v>
      </c>
      <c r="E175" s="31">
        <v>600</v>
      </c>
      <c r="F175" s="32">
        <f t="shared" ca="1" si="1"/>
        <v>24000</v>
      </c>
    </row>
    <row r="176" spans="1:6" x14ac:dyDescent="0.3">
      <c r="A176" s="19"/>
      <c r="B176" s="19"/>
      <c r="C176" s="19"/>
      <c r="D176" s="19"/>
      <c r="E176" s="33" t="s">
        <v>48</v>
      </c>
      <c r="F176" s="34">
        <f ca="1">SUM(Table16[MONTO TOTAL ESTIMADO])</f>
        <v>1529520</v>
      </c>
    </row>
    <row r="177" spans="1:6" ht="15" thickBot="1" x14ac:dyDescent="0.35">
      <c r="A177" s="19"/>
      <c r="B177" s="19"/>
      <c r="C177" s="19"/>
      <c r="D177" s="19"/>
      <c r="E177" s="19"/>
      <c r="F177" s="19"/>
    </row>
    <row r="178" spans="1:6" ht="21" thickBot="1" x14ac:dyDescent="0.35">
      <c r="A178" s="20" t="s">
        <v>19</v>
      </c>
      <c r="B178" s="20" t="s">
        <v>20</v>
      </c>
      <c r="C178" s="20" t="s">
        <v>21</v>
      </c>
      <c r="D178" s="20" t="s">
        <v>22</v>
      </c>
      <c r="E178" s="20" t="s">
        <v>23</v>
      </c>
      <c r="F178" s="20" t="s">
        <v>24</v>
      </c>
    </row>
    <row r="179" spans="1:6" ht="15" thickBot="1" x14ac:dyDescent="0.35">
      <c r="A179" s="21" t="s">
        <v>92</v>
      </c>
      <c r="B179" s="21" t="s">
        <v>93</v>
      </c>
      <c r="C179" s="21" t="s">
        <v>60</v>
      </c>
      <c r="D179" s="21" t="s">
        <v>94</v>
      </c>
      <c r="E179" s="21" t="s">
        <v>54</v>
      </c>
      <c r="F179" s="21" t="s">
        <v>18</v>
      </c>
    </row>
    <row r="180" spans="1:6" ht="15" thickBot="1" x14ac:dyDescent="0.35">
      <c r="A180" s="41" t="s">
        <v>30</v>
      </c>
      <c r="B180" s="22" t="s">
        <v>31</v>
      </c>
      <c r="C180" s="23">
        <v>45000</v>
      </c>
      <c r="D180" s="41" t="s">
        <v>32</v>
      </c>
      <c r="E180" s="24" t="s">
        <v>33</v>
      </c>
      <c r="F180" s="25" t="s">
        <v>34</v>
      </c>
    </row>
    <row r="181" spans="1:6" ht="15" thickBot="1" x14ac:dyDescent="0.35">
      <c r="A181" s="42"/>
      <c r="B181" s="22" t="s">
        <v>35</v>
      </c>
      <c r="C181" s="26">
        <f>IF(C180="","",IF(AND(MONTH(C180)&gt;=1,MONTH(C180)&lt;=3),1,IF(AND(MONTH(C180)&gt;=4,MONTH(C180)&lt;=6),2,IF(AND(MONTH(C180)&gt;=7,MONTH(C180)&lt;=9),3,4))))</f>
        <v>1</v>
      </c>
      <c r="D181" s="42"/>
      <c r="E181" s="24" t="s">
        <v>36</v>
      </c>
      <c r="F181" s="25" t="s">
        <v>37</v>
      </c>
    </row>
    <row r="182" spans="1:6" ht="15" thickBot="1" x14ac:dyDescent="0.35">
      <c r="A182" s="42"/>
      <c r="B182" s="22" t="s">
        <v>38</v>
      </c>
      <c r="C182" s="23">
        <v>45031</v>
      </c>
      <c r="D182" s="42"/>
      <c r="E182" s="24" t="s">
        <v>39</v>
      </c>
      <c r="F182" s="25" t="s">
        <v>37</v>
      </c>
    </row>
    <row r="183" spans="1:6" ht="15" thickBot="1" x14ac:dyDescent="0.35">
      <c r="A183" s="42"/>
      <c r="B183" s="22" t="s">
        <v>35</v>
      </c>
      <c r="C183" s="26">
        <f>IF(C182="","",IF(AND(MONTH(C182)&gt;=1,MONTH(C182)&lt;=3),1,IF(AND(MONTH(C182)&gt;=4,MONTH(C182)&lt;=6),2,IF(AND(MONTH(C182)&gt;=7,MONTH(C182)&lt;=9),3,4))))</f>
        <v>2</v>
      </c>
      <c r="D183" s="42"/>
      <c r="E183" s="24" t="s">
        <v>40</v>
      </c>
      <c r="F183" s="25"/>
    </row>
    <row r="184" spans="1:6" ht="15" thickBot="1" x14ac:dyDescent="0.35">
      <c r="A184" s="19"/>
      <c r="B184" s="19"/>
      <c r="C184" s="19"/>
      <c r="D184" s="19"/>
      <c r="E184" s="19"/>
      <c r="F184" s="19"/>
    </row>
    <row r="185" spans="1:6" ht="15" thickBot="1" x14ac:dyDescent="0.35">
      <c r="A185" s="27" t="s">
        <v>41</v>
      </c>
      <c r="B185" s="27" t="s">
        <v>42</v>
      </c>
      <c r="C185" s="27" t="s">
        <v>43</v>
      </c>
      <c r="D185" s="27" t="s">
        <v>44</v>
      </c>
      <c r="E185" s="27" t="s">
        <v>45</v>
      </c>
      <c r="F185" s="27" t="s">
        <v>46</v>
      </c>
    </row>
    <row r="186" spans="1:6" x14ac:dyDescent="0.3">
      <c r="A186" s="28" t="s">
        <v>95</v>
      </c>
      <c r="B186" s="29" t="str">
        <f ca="1">IFERROR(INDEX(UNSPSCDes,MATCH(INDIRECT(ADDRESS(ROW(),COLUMN()-1,4)),UNSPSCCode,0)),IF(INDIRECT(ADDRESS(ROW(),COLUMN()-1,4))="10161513","Palmeras",""))</f>
        <v>Palmeras</v>
      </c>
      <c r="C186" s="30" t="str">
        <f>IFERROR(VLOOKUP("UD",'[1]Informacion '!P:Q,2,FALSE),"")</f>
        <v>Unidad</v>
      </c>
      <c r="D186" s="28">
        <v>12</v>
      </c>
      <c r="E186" s="31">
        <v>2000</v>
      </c>
      <c r="F186" s="32">
        <f ca="1">INDIRECT(ADDRESS(ROW(),COLUMN()-2,4))*INDIRECT(ADDRESS(ROW(),COLUMN()-1,4))</f>
        <v>24000</v>
      </c>
    </row>
    <row r="187" spans="1:6" x14ac:dyDescent="0.3">
      <c r="A187" s="19"/>
      <c r="B187" s="19"/>
      <c r="C187" s="19"/>
      <c r="D187" s="19"/>
      <c r="E187" s="33" t="s">
        <v>48</v>
      </c>
      <c r="F187" s="34">
        <f ca="1">SUM(Table17[MONTO TOTAL ESTIMADO])</f>
        <v>24000</v>
      </c>
    </row>
    <row r="188" spans="1:6" ht="15" thickBot="1" x14ac:dyDescent="0.35">
      <c r="A188" s="19"/>
      <c r="B188" s="19"/>
      <c r="C188" s="19"/>
      <c r="D188" s="19"/>
      <c r="E188" s="19"/>
      <c r="F188" s="19"/>
    </row>
    <row r="189" spans="1:6" ht="21" thickBot="1" x14ac:dyDescent="0.35">
      <c r="A189" s="20" t="s">
        <v>19</v>
      </c>
      <c r="B189" s="20" t="s">
        <v>20</v>
      </c>
      <c r="C189" s="20" t="s">
        <v>21</v>
      </c>
      <c r="D189" s="20" t="s">
        <v>22</v>
      </c>
      <c r="E189" s="20" t="s">
        <v>23</v>
      </c>
      <c r="F189" s="20" t="s">
        <v>24</v>
      </c>
    </row>
    <row r="190" spans="1:6" ht="21" thickBot="1" x14ac:dyDescent="0.35">
      <c r="A190" s="35" t="s">
        <v>96</v>
      </c>
      <c r="B190" s="35" t="s">
        <v>97</v>
      </c>
      <c r="C190" s="21" t="s">
        <v>27</v>
      </c>
      <c r="D190" s="21" t="s">
        <v>28</v>
      </c>
      <c r="E190" s="21" t="s">
        <v>54</v>
      </c>
      <c r="F190" s="21" t="s">
        <v>18</v>
      </c>
    </row>
    <row r="191" spans="1:6" ht="15" thickBot="1" x14ac:dyDescent="0.35">
      <c r="A191" s="41" t="s">
        <v>30</v>
      </c>
      <c r="B191" s="22" t="s">
        <v>31</v>
      </c>
      <c r="C191" s="23">
        <v>45000</v>
      </c>
      <c r="D191" s="41" t="s">
        <v>32</v>
      </c>
      <c r="E191" s="24" t="s">
        <v>33</v>
      </c>
      <c r="F191" s="25" t="s">
        <v>34</v>
      </c>
    </row>
    <row r="192" spans="1:6" ht="15" thickBot="1" x14ac:dyDescent="0.35">
      <c r="A192" s="42"/>
      <c r="B192" s="22" t="s">
        <v>35</v>
      </c>
      <c r="C192" s="26">
        <f>IF(C191="","",IF(AND(MONTH(C191)&gt;=1,MONTH(C191)&lt;=3),1,IF(AND(MONTH(C191)&gt;=4,MONTH(C191)&lt;=6),2,IF(AND(MONTH(C191)&gt;=7,MONTH(C191)&lt;=9),3,4))))</f>
        <v>1</v>
      </c>
      <c r="D192" s="42"/>
      <c r="E192" s="24" t="s">
        <v>36</v>
      </c>
      <c r="F192" s="25" t="s">
        <v>37</v>
      </c>
    </row>
    <row r="193" spans="1:6" ht="15" thickBot="1" x14ac:dyDescent="0.35">
      <c r="A193" s="42"/>
      <c r="B193" s="22" t="s">
        <v>38</v>
      </c>
      <c r="C193" s="23">
        <v>45031</v>
      </c>
      <c r="D193" s="42"/>
      <c r="E193" s="24" t="s">
        <v>39</v>
      </c>
      <c r="F193" s="25" t="s">
        <v>37</v>
      </c>
    </row>
    <row r="194" spans="1:6" ht="15" thickBot="1" x14ac:dyDescent="0.35">
      <c r="A194" s="42"/>
      <c r="B194" s="22" t="s">
        <v>35</v>
      </c>
      <c r="C194" s="26">
        <f>IF(C193="","",IF(AND(MONTH(C193)&gt;=1,MONTH(C193)&lt;=3),1,IF(AND(MONTH(C193)&gt;=4,MONTH(C193)&lt;=6),2,IF(AND(MONTH(C193)&gt;=7,MONTH(C193)&lt;=9),3,4))))</f>
        <v>2</v>
      </c>
      <c r="D194" s="42"/>
      <c r="E194" s="24" t="s">
        <v>40</v>
      </c>
      <c r="F194" s="25"/>
    </row>
    <row r="195" spans="1:6" ht="15" thickBot="1" x14ac:dyDescent="0.35">
      <c r="A195" s="19"/>
      <c r="B195" s="19"/>
      <c r="C195" s="19"/>
      <c r="D195" s="19"/>
      <c r="E195" s="19"/>
      <c r="F195" s="19"/>
    </row>
    <row r="196" spans="1:6" ht="15" thickBot="1" x14ac:dyDescent="0.35">
      <c r="A196" s="27" t="s">
        <v>41</v>
      </c>
      <c r="B196" s="27" t="s">
        <v>42</v>
      </c>
      <c r="C196" s="27" t="s">
        <v>43</v>
      </c>
      <c r="D196" s="27" t="s">
        <v>44</v>
      </c>
      <c r="E196" s="27" t="s">
        <v>45</v>
      </c>
      <c r="F196" s="27" t="s">
        <v>46</v>
      </c>
    </row>
    <row r="197" spans="1:6" ht="51" x14ac:dyDescent="0.3">
      <c r="A197" s="28" t="s">
        <v>98</v>
      </c>
      <c r="B197" s="29" t="str">
        <f ca="1">IFERROR(INDEX(UNSPSCDes,MATCH(INDIRECT(ADDRESS(ROW(),COLUMN()-1,4)),UNSPSCCode,0)),IF(INDIRECT(ADDRESS(ROW(),COLUMN()-1,4))="81111812","Servicio de mantenimiento o soporte del hardware del computador",""))</f>
        <v>Servicio de mantenimiento o soporte del hardware del computador</v>
      </c>
      <c r="C197" s="30" t="str">
        <f>IFERROR(VLOOKUP("PAQ",'[1]Informacion '!P:Q,2,FALSE),"")</f>
        <v>Paquete</v>
      </c>
      <c r="D197" s="28">
        <v>1</v>
      </c>
      <c r="E197" s="31">
        <v>370432.4</v>
      </c>
      <c r="F197" s="32">
        <f ca="1">INDIRECT(ADDRESS(ROW(),COLUMN()-2,4))*INDIRECT(ADDRESS(ROW(),COLUMN()-1,4))</f>
        <v>370432.4</v>
      </c>
    </row>
    <row r="198" spans="1:6" x14ac:dyDescent="0.3">
      <c r="A198" s="19"/>
      <c r="B198" s="19"/>
      <c r="C198" s="19"/>
      <c r="D198" s="19"/>
      <c r="E198" s="33" t="s">
        <v>48</v>
      </c>
      <c r="F198" s="34">
        <f ca="1">SUM(Table18[MONTO TOTAL ESTIMADO])</f>
        <v>370432.4</v>
      </c>
    </row>
    <row r="199" spans="1:6" ht="15" thickBot="1" x14ac:dyDescent="0.35">
      <c r="A199" s="19"/>
      <c r="B199" s="19"/>
      <c r="C199" s="19"/>
      <c r="D199" s="19"/>
      <c r="E199" s="19"/>
      <c r="F199" s="19"/>
    </row>
    <row r="200" spans="1:6" ht="21" thickBot="1" x14ac:dyDescent="0.35">
      <c r="A200" s="20" t="s">
        <v>19</v>
      </c>
      <c r="B200" s="20" t="s">
        <v>20</v>
      </c>
      <c r="C200" s="20" t="s">
        <v>21</v>
      </c>
      <c r="D200" s="20" t="s">
        <v>22</v>
      </c>
      <c r="E200" s="20" t="s">
        <v>23</v>
      </c>
      <c r="F200" s="20" t="s">
        <v>24</v>
      </c>
    </row>
    <row r="201" spans="1:6" ht="21" thickBot="1" x14ac:dyDescent="0.35">
      <c r="A201" s="35" t="s">
        <v>99</v>
      </c>
      <c r="B201" s="35" t="s">
        <v>100</v>
      </c>
      <c r="C201" s="21" t="s">
        <v>27</v>
      </c>
      <c r="D201" s="21" t="s">
        <v>61</v>
      </c>
      <c r="E201" s="21" t="s">
        <v>54</v>
      </c>
      <c r="F201" s="21" t="s">
        <v>18</v>
      </c>
    </row>
    <row r="202" spans="1:6" ht="15" thickBot="1" x14ac:dyDescent="0.35">
      <c r="A202" s="41" t="s">
        <v>30</v>
      </c>
      <c r="B202" s="22" t="s">
        <v>31</v>
      </c>
      <c r="C202" s="23">
        <v>45031</v>
      </c>
      <c r="D202" s="41" t="s">
        <v>32</v>
      </c>
      <c r="E202" s="24" t="s">
        <v>33</v>
      </c>
      <c r="F202" s="25" t="s">
        <v>34</v>
      </c>
    </row>
    <row r="203" spans="1:6" ht="15" thickBot="1" x14ac:dyDescent="0.35">
      <c r="A203" s="42"/>
      <c r="B203" s="22" t="s">
        <v>35</v>
      </c>
      <c r="C203" s="26">
        <f>IF(C202="","",IF(AND(MONTH(C202)&gt;=1,MONTH(C202)&lt;=3),1,IF(AND(MONTH(C202)&gt;=4,MONTH(C202)&lt;=6),2,IF(AND(MONTH(C202)&gt;=7,MONTH(C202)&lt;=9),3,4))))</f>
        <v>2</v>
      </c>
      <c r="D203" s="42"/>
      <c r="E203" s="24" t="s">
        <v>36</v>
      </c>
      <c r="F203" s="25" t="s">
        <v>37</v>
      </c>
    </row>
    <row r="204" spans="1:6" ht="15" thickBot="1" x14ac:dyDescent="0.35">
      <c r="A204" s="42"/>
      <c r="B204" s="22" t="s">
        <v>38</v>
      </c>
      <c r="C204" s="23">
        <v>45061</v>
      </c>
      <c r="D204" s="42"/>
      <c r="E204" s="24" t="s">
        <v>39</v>
      </c>
      <c r="F204" s="25" t="s">
        <v>37</v>
      </c>
    </row>
    <row r="205" spans="1:6" ht="15" thickBot="1" x14ac:dyDescent="0.35">
      <c r="A205" s="42"/>
      <c r="B205" s="22" t="s">
        <v>35</v>
      </c>
      <c r="C205" s="26">
        <f>IF(C204="","",IF(AND(MONTH(C204)&gt;=1,MONTH(C204)&lt;=3),1,IF(AND(MONTH(C204)&gt;=4,MONTH(C204)&lt;=6),2,IF(AND(MONTH(C204)&gt;=7,MONTH(C204)&lt;=9),3,4))))</f>
        <v>2</v>
      </c>
      <c r="D205" s="42"/>
      <c r="E205" s="24" t="s">
        <v>40</v>
      </c>
      <c r="F205" s="25"/>
    </row>
    <row r="206" spans="1:6" ht="15" thickBot="1" x14ac:dyDescent="0.35">
      <c r="A206" s="19"/>
      <c r="B206" s="19"/>
      <c r="C206" s="19"/>
      <c r="D206" s="19"/>
      <c r="E206" s="19"/>
      <c r="F206" s="19"/>
    </row>
    <row r="207" spans="1:6" ht="15" thickBot="1" x14ac:dyDescent="0.35">
      <c r="A207" s="27" t="s">
        <v>41</v>
      </c>
      <c r="B207" s="27" t="s">
        <v>42</v>
      </c>
      <c r="C207" s="27" t="s">
        <v>43</v>
      </c>
      <c r="D207" s="27" t="s">
        <v>44</v>
      </c>
      <c r="E207" s="27" t="s">
        <v>45</v>
      </c>
      <c r="F207" s="27" t="s">
        <v>46</v>
      </c>
    </row>
    <row r="208" spans="1:6" x14ac:dyDescent="0.3">
      <c r="A208" s="28" t="s">
        <v>101</v>
      </c>
      <c r="B208" s="29" t="str">
        <f ca="1">IFERROR(INDEX(UNSPSCDes,MATCH(INDIRECT(ADDRESS(ROW(),COLUMN()-1,4)),UNSPSCCode,0)),IF(INDIRECT(ADDRESS(ROW(),COLUMN()-1,4))="78180103","Servicios de cambio de fluidos de aceite o de la transmisión",""))</f>
        <v>Servicios de cambio de fluidos de aceite o de la transmisión</v>
      </c>
      <c r="C208" s="30" t="str">
        <f>IFERROR(VLOOKUP("PAQ",'[1]Informacion '!P:Q,2,FALSE),"")</f>
        <v>Paquete</v>
      </c>
      <c r="D208" s="28">
        <v>1</v>
      </c>
      <c r="E208" s="31">
        <v>2000000</v>
      </c>
      <c r="F208" s="32">
        <f ca="1">INDIRECT(ADDRESS(ROW(),COLUMN()-2,4))*INDIRECT(ADDRESS(ROW(),COLUMN()-1,4))</f>
        <v>2000000</v>
      </c>
    </row>
    <row r="209" spans="1:6" x14ac:dyDescent="0.3">
      <c r="A209" s="28" t="s">
        <v>102</v>
      </c>
      <c r="B209" s="29" t="str">
        <f ca="1">IFERROR(INDEX(UNSPSCDes,MATCH(INDIRECT(ADDRESS(ROW(),COLUMN()-1,4)),UNSPSCCode,0)),IF(INDIRECT(ADDRESS(ROW(),COLUMN()-1,4))="78180101","Servicios de reparar o pintar la carrocería de vehículos",""))</f>
        <v>Servicios de reparar o pintar la carrocería de vehículos</v>
      </c>
      <c r="C209" s="30" t="str">
        <f>IFERROR(VLOOKUP("PAQ",'[1]Informacion '!P:Q,2,FALSE),"")</f>
        <v>Paquete</v>
      </c>
      <c r="D209" s="28">
        <v>1</v>
      </c>
      <c r="E209" s="31">
        <v>400000</v>
      </c>
      <c r="F209" s="32">
        <f ca="1">INDIRECT(ADDRESS(ROW(),COLUMN()-2,4))*INDIRECT(ADDRESS(ROW(),COLUMN()-1,4))</f>
        <v>400000</v>
      </c>
    </row>
    <row r="210" spans="1:6" x14ac:dyDescent="0.3">
      <c r="A210" s="19"/>
      <c r="B210" s="19"/>
      <c r="C210" s="19"/>
      <c r="D210" s="19"/>
      <c r="E210" s="33" t="s">
        <v>48</v>
      </c>
      <c r="F210" s="34">
        <f ca="1">SUM(Table19[MONTO TOTAL ESTIMADO])</f>
        <v>2400000</v>
      </c>
    </row>
    <row r="211" spans="1:6" ht="15" thickBot="1" x14ac:dyDescent="0.35">
      <c r="A211" s="19"/>
      <c r="B211" s="19"/>
      <c r="C211" s="19"/>
      <c r="D211" s="19"/>
      <c r="E211" s="19"/>
      <c r="F211" s="19"/>
    </row>
    <row r="212" spans="1:6" ht="21" thickBot="1" x14ac:dyDescent="0.35">
      <c r="A212" s="20" t="s">
        <v>19</v>
      </c>
      <c r="B212" s="20" t="s">
        <v>20</v>
      </c>
      <c r="C212" s="20" t="s">
        <v>21</v>
      </c>
      <c r="D212" s="20" t="s">
        <v>22</v>
      </c>
      <c r="E212" s="20" t="s">
        <v>23</v>
      </c>
      <c r="F212" s="20" t="s">
        <v>24</v>
      </c>
    </row>
    <row r="213" spans="1:6" ht="21" thickBot="1" x14ac:dyDescent="0.35">
      <c r="A213" s="35" t="s">
        <v>103</v>
      </c>
      <c r="B213" s="35" t="s">
        <v>104</v>
      </c>
      <c r="C213" s="21" t="s">
        <v>27</v>
      </c>
      <c r="D213" s="21" t="s">
        <v>28</v>
      </c>
      <c r="E213" s="21" t="s">
        <v>29</v>
      </c>
      <c r="F213" s="21" t="s">
        <v>18</v>
      </c>
    </row>
    <row r="214" spans="1:6" ht="15" thickBot="1" x14ac:dyDescent="0.35">
      <c r="A214" s="41" t="s">
        <v>30</v>
      </c>
      <c r="B214" s="22" t="s">
        <v>31</v>
      </c>
      <c r="C214" s="23">
        <v>45000</v>
      </c>
      <c r="D214" s="41" t="s">
        <v>32</v>
      </c>
      <c r="E214" s="24" t="s">
        <v>33</v>
      </c>
      <c r="F214" s="25" t="s">
        <v>34</v>
      </c>
    </row>
    <row r="215" spans="1:6" ht="15" thickBot="1" x14ac:dyDescent="0.35">
      <c r="A215" s="42"/>
      <c r="B215" s="22" t="s">
        <v>35</v>
      </c>
      <c r="C215" s="26">
        <f>IF(C214="","",IF(AND(MONTH(C214)&gt;=1,MONTH(C214)&lt;=3),1,IF(AND(MONTH(C214)&gt;=4,MONTH(C214)&lt;=6),2,IF(AND(MONTH(C214)&gt;=7,MONTH(C214)&lt;=9),3,4))))</f>
        <v>1</v>
      </c>
      <c r="D215" s="42"/>
      <c r="E215" s="24" t="s">
        <v>36</v>
      </c>
      <c r="F215" s="25" t="s">
        <v>37</v>
      </c>
    </row>
    <row r="216" spans="1:6" ht="15" thickBot="1" x14ac:dyDescent="0.35">
      <c r="A216" s="42"/>
      <c r="B216" s="22" t="s">
        <v>38</v>
      </c>
      <c r="C216" s="23">
        <v>45031</v>
      </c>
      <c r="D216" s="42"/>
      <c r="E216" s="24" t="s">
        <v>39</v>
      </c>
      <c r="F216" s="25" t="s">
        <v>37</v>
      </c>
    </row>
    <row r="217" spans="1:6" ht="15" thickBot="1" x14ac:dyDescent="0.35">
      <c r="A217" s="42"/>
      <c r="B217" s="22" t="s">
        <v>35</v>
      </c>
      <c r="C217" s="26">
        <f>IF(C216="","",IF(AND(MONTH(C216)&gt;=1,MONTH(C216)&lt;=3),1,IF(AND(MONTH(C216)&gt;=4,MONTH(C216)&lt;=6),2,IF(AND(MONTH(C216)&gt;=7,MONTH(C216)&lt;=9),3,4))))</f>
        <v>2</v>
      </c>
      <c r="D217" s="42"/>
      <c r="E217" s="24" t="s">
        <v>40</v>
      </c>
      <c r="F217" s="25"/>
    </row>
    <row r="218" spans="1:6" ht="15" thickBot="1" x14ac:dyDescent="0.35">
      <c r="A218" s="19"/>
      <c r="B218" s="19"/>
      <c r="C218" s="19"/>
      <c r="D218" s="19"/>
      <c r="E218" s="19"/>
      <c r="F218" s="19"/>
    </row>
    <row r="219" spans="1:6" ht="15" thickBot="1" x14ac:dyDescent="0.35">
      <c r="A219" s="27" t="s">
        <v>41</v>
      </c>
      <c r="B219" s="27" t="s">
        <v>42</v>
      </c>
      <c r="C219" s="27" t="s">
        <v>43</v>
      </c>
      <c r="D219" s="27" t="s">
        <v>44</v>
      </c>
      <c r="E219" s="27" t="s">
        <v>45</v>
      </c>
      <c r="F219" s="27" t="s">
        <v>46</v>
      </c>
    </row>
    <row r="220" spans="1:6" ht="30.6" x14ac:dyDescent="0.3">
      <c r="A220" s="28" t="s">
        <v>105</v>
      </c>
      <c r="B220" s="29" t="str">
        <f ca="1">IFERROR(INDEX(UNSPSCDes,MATCH(INDIRECT(ADDRESS(ROW(),COLUMN()-1,4)),UNSPSCCode,0)),IF(INDIRECT(ADDRESS(ROW(),COLUMN()-1,4))="72101506","Servicios de mantenimiento de elevadores. ",""))</f>
        <v xml:space="preserve">Servicios de mantenimiento de elevadores. </v>
      </c>
      <c r="C220" s="30" t="str">
        <f>IFERROR(VLOOKUP("PAQ",'[1]Informacion '!P:Q,2,FALSE),"")</f>
        <v>Paquete</v>
      </c>
      <c r="D220" s="28">
        <v>1</v>
      </c>
      <c r="E220" s="31">
        <v>650000</v>
      </c>
      <c r="F220" s="32">
        <f ca="1">INDIRECT(ADDRESS(ROW(),COLUMN()-2,4))*INDIRECT(ADDRESS(ROW(),COLUMN()-1,4))</f>
        <v>650000</v>
      </c>
    </row>
    <row r="221" spans="1:6" x14ac:dyDescent="0.3">
      <c r="A221" s="19"/>
      <c r="B221" s="19"/>
      <c r="C221" s="19"/>
      <c r="D221" s="19"/>
      <c r="E221" s="33" t="s">
        <v>48</v>
      </c>
      <c r="F221" s="34">
        <f ca="1">SUM(Table20[MONTO TOTAL ESTIMADO])</f>
        <v>650000</v>
      </c>
    </row>
    <row r="222" spans="1:6" ht="15" thickBot="1" x14ac:dyDescent="0.35">
      <c r="A222" s="19"/>
      <c r="B222" s="19"/>
      <c r="C222" s="19"/>
      <c r="D222" s="19"/>
      <c r="E222" s="19"/>
      <c r="F222" s="19"/>
    </row>
    <row r="223" spans="1:6" ht="21" thickBot="1" x14ac:dyDescent="0.35">
      <c r="A223" s="20" t="s">
        <v>19</v>
      </c>
      <c r="B223" s="20" t="s">
        <v>20</v>
      </c>
      <c r="C223" s="20" t="s">
        <v>21</v>
      </c>
      <c r="D223" s="20" t="s">
        <v>22</v>
      </c>
      <c r="E223" s="20" t="s">
        <v>23</v>
      </c>
      <c r="F223" s="20" t="s">
        <v>24</v>
      </c>
    </row>
    <row r="224" spans="1:6" ht="15" thickBot="1" x14ac:dyDescent="0.35">
      <c r="A224" s="35" t="s">
        <v>100</v>
      </c>
      <c r="B224" s="35" t="s">
        <v>100</v>
      </c>
      <c r="C224" s="21" t="s">
        <v>27</v>
      </c>
      <c r="D224" s="21" t="s">
        <v>28</v>
      </c>
      <c r="E224" s="21" t="s">
        <v>54</v>
      </c>
      <c r="F224" s="21" t="s">
        <v>18</v>
      </c>
    </row>
    <row r="225" spans="1:6" ht="15" thickBot="1" x14ac:dyDescent="0.35">
      <c r="A225" s="41" t="s">
        <v>30</v>
      </c>
      <c r="B225" s="22" t="s">
        <v>31</v>
      </c>
      <c r="C225" s="23">
        <v>44972</v>
      </c>
      <c r="D225" s="41" t="s">
        <v>32</v>
      </c>
      <c r="E225" s="24" t="s">
        <v>33</v>
      </c>
      <c r="F225" s="25" t="s">
        <v>34</v>
      </c>
    </row>
    <row r="226" spans="1:6" ht="15" thickBot="1" x14ac:dyDescent="0.35">
      <c r="A226" s="42"/>
      <c r="B226" s="22" t="s">
        <v>35</v>
      </c>
      <c r="C226" s="26">
        <f>IF(C225="","",IF(AND(MONTH(C225)&gt;=1,MONTH(C225)&lt;=3),1,IF(AND(MONTH(C225)&gt;=4,MONTH(C225)&lt;=6),2,IF(AND(MONTH(C225)&gt;=7,MONTH(C225)&lt;=9),3,4))))</f>
        <v>1</v>
      </c>
      <c r="D226" s="42"/>
      <c r="E226" s="24" t="s">
        <v>36</v>
      </c>
      <c r="F226" s="25" t="s">
        <v>37</v>
      </c>
    </row>
    <row r="227" spans="1:6" ht="15" thickBot="1" x14ac:dyDescent="0.35">
      <c r="A227" s="42"/>
      <c r="B227" s="22" t="s">
        <v>38</v>
      </c>
      <c r="C227" s="23">
        <v>45000</v>
      </c>
      <c r="D227" s="42"/>
      <c r="E227" s="24" t="s">
        <v>39</v>
      </c>
      <c r="F227" s="25" t="s">
        <v>37</v>
      </c>
    </row>
    <row r="228" spans="1:6" ht="15" thickBot="1" x14ac:dyDescent="0.35">
      <c r="A228" s="42"/>
      <c r="B228" s="22" t="s">
        <v>35</v>
      </c>
      <c r="C228" s="26">
        <f>IF(C227="","",IF(AND(MONTH(C227)&gt;=1,MONTH(C227)&lt;=3),1,IF(AND(MONTH(C227)&gt;=4,MONTH(C227)&lt;=6),2,IF(AND(MONTH(C227)&gt;=7,MONTH(C227)&lt;=9),3,4))))</f>
        <v>1</v>
      </c>
      <c r="D228" s="42"/>
      <c r="E228" s="24" t="s">
        <v>40</v>
      </c>
      <c r="F228" s="25"/>
    </row>
    <row r="229" spans="1:6" ht="15" thickBot="1" x14ac:dyDescent="0.35">
      <c r="A229" s="19"/>
      <c r="B229" s="19"/>
      <c r="C229" s="19"/>
      <c r="D229" s="19"/>
      <c r="E229" s="19"/>
      <c r="F229" s="19"/>
    </row>
    <row r="230" spans="1:6" ht="15" thickBot="1" x14ac:dyDescent="0.35">
      <c r="A230" s="27" t="s">
        <v>41</v>
      </c>
      <c r="B230" s="27" t="s">
        <v>42</v>
      </c>
      <c r="C230" s="27" t="s">
        <v>43</v>
      </c>
      <c r="D230" s="27" t="s">
        <v>44</v>
      </c>
      <c r="E230" s="27" t="s">
        <v>45</v>
      </c>
      <c r="F230" s="27" t="s">
        <v>46</v>
      </c>
    </row>
    <row r="231" spans="1:6" ht="20.399999999999999" x14ac:dyDescent="0.3">
      <c r="A231" s="28" t="s">
        <v>106</v>
      </c>
      <c r="B231" s="29" t="str">
        <f ca="1">IFERROR(INDEX(UNSPSCDes,MATCH(INDIRECT(ADDRESS(ROW(),COLUMN()-1,4)),UNSPSCCode,0)),IF(INDIRECT(ADDRESS(ROW(),COLUMN()-1,4))="76111801","Limpieza de carros o barcos",""))</f>
        <v>Limpieza de carros o barcos</v>
      </c>
      <c r="C231" s="30" t="str">
        <f>IFERROR(VLOOKUP("PAQ",'[1]Informacion '!P:Q,2,FALSE),"")</f>
        <v>Paquete</v>
      </c>
      <c r="D231" s="28">
        <v>1</v>
      </c>
      <c r="E231" s="31">
        <v>800000</v>
      </c>
      <c r="F231" s="32">
        <f ca="1">INDIRECT(ADDRESS(ROW(),COLUMN()-2,4))*INDIRECT(ADDRESS(ROW(),COLUMN()-1,4))</f>
        <v>800000</v>
      </c>
    </row>
    <row r="232" spans="1:6" x14ac:dyDescent="0.3">
      <c r="A232" s="19"/>
      <c r="B232" s="19"/>
      <c r="C232" s="19"/>
      <c r="D232" s="19"/>
      <c r="E232" s="33" t="s">
        <v>48</v>
      </c>
      <c r="F232" s="34">
        <f ca="1">SUM(Table21[MONTO TOTAL ESTIMADO])</f>
        <v>800000</v>
      </c>
    </row>
    <row r="233" spans="1:6" ht="15" thickBot="1" x14ac:dyDescent="0.35">
      <c r="A233" s="19"/>
      <c r="B233" s="19"/>
      <c r="C233" s="19"/>
      <c r="D233" s="19"/>
      <c r="E233" s="19"/>
      <c r="F233" s="19"/>
    </row>
    <row r="234" spans="1:6" ht="21" thickBot="1" x14ac:dyDescent="0.35">
      <c r="A234" s="20" t="s">
        <v>19</v>
      </c>
      <c r="B234" s="20" t="s">
        <v>20</v>
      </c>
      <c r="C234" s="20" t="s">
        <v>21</v>
      </c>
      <c r="D234" s="20" t="s">
        <v>22</v>
      </c>
      <c r="E234" s="20" t="s">
        <v>23</v>
      </c>
      <c r="F234" s="20" t="s">
        <v>24</v>
      </c>
    </row>
    <row r="235" spans="1:6" ht="21" thickBot="1" x14ac:dyDescent="0.35">
      <c r="A235" s="35" t="s">
        <v>107</v>
      </c>
      <c r="B235" s="35" t="s">
        <v>108</v>
      </c>
      <c r="C235" s="21" t="s">
        <v>27</v>
      </c>
      <c r="D235" s="21" t="s">
        <v>28</v>
      </c>
      <c r="E235" s="21" t="s">
        <v>54</v>
      </c>
      <c r="F235" s="21" t="s">
        <v>18</v>
      </c>
    </row>
    <row r="236" spans="1:6" ht="15" thickBot="1" x14ac:dyDescent="0.35">
      <c r="A236" s="41" t="s">
        <v>30</v>
      </c>
      <c r="B236" s="22" t="s">
        <v>31</v>
      </c>
      <c r="C236" s="23">
        <v>45000</v>
      </c>
      <c r="D236" s="41" t="s">
        <v>32</v>
      </c>
      <c r="E236" s="24" t="s">
        <v>33</v>
      </c>
      <c r="F236" s="25" t="s">
        <v>34</v>
      </c>
    </row>
    <row r="237" spans="1:6" ht="15" thickBot="1" x14ac:dyDescent="0.35">
      <c r="A237" s="42"/>
      <c r="B237" s="22" t="s">
        <v>35</v>
      </c>
      <c r="C237" s="26">
        <f>IF(C236="","",IF(AND(MONTH(C236)&gt;=1,MONTH(C236)&lt;=3),1,IF(AND(MONTH(C236)&gt;=4,MONTH(C236)&lt;=6),2,IF(AND(MONTH(C236)&gt;=7,MONTH(C236)&lt;=9),3,4))))</f>
        <v>1</v>
      </c>
      <c r="D237" s="42"/>
      <c r="E237" s="24" t="s">
        <v>36</v>
      </c>
      <c r="F237" s="25" t="s">
        <v>37</v>
      </c>
    </row>
    <row r="238" spans="1:6" ht="15" thickBot="1" x14ac:dyDescent="0.35">
      <c r="A238" s="42"/>
      <c r="B238" s="22" t="s">
        <v>38</v>
      </c>
      <c r="C238" s="23">
        <v>45031</v>
      </c>
      <c r="D238" s="42"/>
      <c r="E238" s="24" t="s">
        <v>39</v>
      </c>
      <c r="F238" s="25" t="s">
        <v>37</v>
      </c>
    </row>
    <row r="239" spans="1:6" ht="15" thickBot="1" x14ac:dyDescent="0.35">
      <c r="A239" s="42"/>
      <c r="B239" s="22" t="s">
        <v>35</v>
      </c>
      <c r="C239" s="26">
        <f>IF(C238="","",IF(AND(MONTH(C238)&gt;=1,MONTH(C238)&lt;=3),1,IF(AND(MONTH(C238)&gt;=4,MONTH(C238)&lt;=6),2,IF(AND(MONTH(C238)&gt;=7,MONTH(C238)&lt;=9),3,4))))</f>
        <v>2</v>
      </c>
      <c r="D239" s="42"/>
      <c r="E239" s="24" t="s">
        <v>40</v>
      </c>
      <c r="F239" s="25"/>
    </row>
    <row r="240" spans="1:6" ht="15" thickBot="1" x14ac:dyDescent="0.35">
      <c r="A240" s="19"/>
      <c r="B240" s="19"/>
      <c r="C240" s="19"/>
      <c r="D240" s="19"/>
      <c r="E240" s="19"/>
      <c r="F240" s="19"/>
    </row>
    <row r="241" spans="1:6" ht="15" thickBot="1" x14ac:dyDescent="0.35">
      <c r="A241" s="27" t="s">
        <v>41</v>
      </c>
      <c r="B241" s="27" t="s">
        <v>42</v>
      </c>
      <c r="C241" s="27" t="s">
        <v>43</v>
      </c>
      <c r="D241" s="27" t="s">
        <v>44</v>
      </c>
      <c r="E241" s="27" t="s">
        <v>45</v>
      </c>
      <c r="F241" s="27" t="s">
        <v>46</v>
      </c>
    </row>
    <row r="242" spans="1:6" ht="30.6" x14ac:dyDescent="0.3">
      <c r="A242" s="28" t="s">
        <v>109</v>
      </c>
      <c r="B242" s="29" t="str">
        <f ca="1">IFERROR(INDEX(UNSPSCDes,MATCH(INDIRECT(ADDRESS(ROW(),COLUMN()-1,4)),UNSPSCCode,0)),IF(INDIRECT(ADDRESS(ROW(),COLUMN()-1,4))="46171619","Sistemas de seguridad o de control de acceso",""))</f>
        <v>Sistemas de seguridad o de control de acceso</v>
      </c>
      <c r="C242" s="30" t="str">
        <f>IFERROR(VLOOKUP("PAQ",'[1]Informacion '!P:Q,2,FALSE),"")</f>
        <v>Paquete</v>
      </c>
      <c r="D242" s="28">
        <v>1</v>
      </c>
      <c r="E242" s="31">
        <v>357000</v>
      </c>
      <c r="F242" s="32">
        <f ca="1">INDIRECT(ADDRESS(ROW(),COLUMN()-2,4))*INDIRECT(ADDRESS(ROW(),COLUMN()-1,4))</f>
        <v>357000</v>
      </c>
    </row>
    <row r="243" spans="1:6" x14ac:dyDescent="0.3">
      <c r="A243" s="19"/>
      <c r="B243" s="19"/>
      <c r="C243" s="19"/>
      <c r="D243" s="19"/>
      <c r="E243" s="33" t="s">
        <v>48</v>
      </c>
      <c r="F243" s="34">
        <f ca="1">SUM(Table22[MONTO TOTAL ESTIMADO])</f>
        <v>357000</v>
      </c>
    </row>
    <row r="244" spans="1:6" ht="15" thickBot="1" x14ac:dyDescent="0.35">
      <c r="A244" s="19"/>
      <c r="B244" s="19"/>
      <c r="C244" s="19"/>
      <c r="D244" s="19"/>
      <c r="E244" s="19"/>
      <c r="F244" s="19"/>
    </row>
    <row r="245" spans="1:6" ht="21" thickBot="1" x14ac:dyDescent="0.35">
      <c r="A245" s="20" t="s">
        <v>19</v>
      </c>
      <c r="B245" s="20" t="s">
        <v>20</v>
      </c>
      <c r="C245" s="20" t="s">
        <v>21</v>
      </c>
      <c r="D245" s="20" t="s">
        <v>22</v>
      </c>
      <c r="E245" s="20" t="s">
        <v>23</v>
      </c>
      <c r="F245" s="20" t="s">
        <v>24</v>
      </c>
    </row>
    <row r="246" spans="1:6" ht="21" thickBot="1" x14ac:dyDescent="0.35">
      <c r="A246" s="35" t="s">
        <v>110</v>
      </c>
      <c r="B246" s="35" t="s">
        <v>111</v>
      </c>
      <c r="C246" s="21" t="s">
        <v>27</v>
      </c>
      <c r="D246" s="21" t="s">
        <v>28</v>
      </c>
      <c r="E246" s="21" t="s">
        <v>29</v>
      </c>
      <c r="F246" s="21" t="s">
        <v>18</v>
      </c>
    </row>
    <row r="247" spans="1:6" ht="15" thickBot="1" x14ac:dyDescent="0.35">
      <c r="A247" s="41" t="s">
        <v>30</v>
      </c>
      <c r="B247" s="22" t="s">
        <v>31</v>
      </c>
      <c r="C247" s="23">
        <v>45000</v>
      </c>
      <c r="D247" s="41" t="s">
        <v>32</v>
      </c>
      <c r="E247" s="24" t="s">
        <v>33</v>
      </c>
      <c r="F247" s="25" t="s">
        <v>34</v>
      </c>
    </row>
    <row r="248" spans="1:6" ht="15" thickBot="1" x14ac:dyDescent="0.35">
      <c r="A248" s="42"/>
      <c r="B248" s="22" t="s">
        <v>35</v>
      </c>
      <c r="C248" s="26">
        <f>IF(C247="","",IF(AND(MONTH(C247)&gt;=1,MONTH(C247)&lt;=3),1,IF(AND(MONTH(C247)&gt;=4,MONTH(C247)&lt;=6),2,IF(AND(MONTH(C247)&gt;=7,MONTH(C247)&lt;=9),3,4))))</f>
        <v>1</v>
      </c>
      <c r="D248" s="42"/>
      <c r="E248" s="24" t="s">
        <v>36</v>
      </c>
      <c r="F248" s="25" t="s">
        <v>37</v>
      </c>
    </row>
    <row r="249" spans="1:6" ht="15" thickBot="1" x14ac:dyDescent="0.35">
      <c r="A249" s="42"/>
      <c r="B249" s="22" t="s">
        <v>38</v>
      </c>
      <c r="C249" s="23">
        <v>45031</v>
      </c>
      <c r="D249" s="42"/>
      <c r="E249" s="24" t="s">
        <v>39</v>
      </c>
      <c r="F249" s="25" t="s">
        <v>37</v>
      </c>
    </row>
    <row r="250" spans="1:6" ht="15" thickBot="1" x14ac:dyDescent="0.35">
      <c r="A250" s="42"/>
      <c r="B250" s="22" t="s">
        <v>35</v>
      </c>
      <c r="C250" s="26">
        <f>IF(C249="","",IF(AND(MONTH(C249)&gt;=1,MONTH(C249)&lt;=3),1,IF(AND(MONTH(C249)&gt;=4,MONTH(C249)&lt;=6),2,IF(AND(MONTH(C249)&gt;=7,MONTH(C249)&lt;=9),3,4))))</f>
        <v>2</v>
      </c>
      <c r="D250" s="42"/>
      <c r="E250" s="24" t="s">
        <v>40</v>
      </c>
      <c r="F250" s="25"/>
    </row>
    <row r="251" spans="1:6" ht="15" thickBot="1" x14ac:dyDescent="0.35">
      <c r="A251" s="19"/>
      <c r="B251" s="19"/>
      <c r="C251" s="19"/>
      <c r="D251" s="19"/>
      <c r="E251" s="19"/>
      <c r="F251" s="19"/>
    </row>
    <row r="252" spans="1:6" ht="15" thickBot="1" x14ac:dyDescent="0.35">
      <c r="A252" s="27" t="s">
        <v>41</v>
      </c>
      <c r="B252" s="27" t="s">
        <v>42</v>
      </c>
      <c r="C252" s="27" t="s">
        <v>43</v>
      </c>
      <c r="D252" s="27" t="s">
        <v>44</v>
      </c>
      <c r="E252" s="27" t="s">
        <v>45</v>
      </c>
      <c r="F252" s="27" t="s">
        <v>46</v>
      </c>
    </row>
    <row r="253" spans="1:6" ht="20.399999999999999" x14ac:dyDescent="0.3">
      <c r="A253" s="28" t="s">
        <v>112</v>
      </c>
      <c r="B253" s="29" t="str">
        <f ca="1">IFERROR(INDEX(UNSPSCDes,MATCH(INDIRECT(ADDRESS(ROW(),COLUMN()-1,4)),UNSPSCCode,0)),IF(INDIRECT(ADDRESS(ROW(),COLUMN()-1,4))="26111601","Generadores diesel ",""))</f>
        <v xml:space="preserve">Generadores diesel </v>
      </c>
      <c r="C253" s="30" t="str">
        <f>IFERROR(VLOOKUP("PAQ",'[1]Informacion '!P:Q,2,FALSE),"")</f>
        <v>Paquete</v>
      </c>
      <c r="D253" s="28">
        <v>1</v>
      </c>
      <c r="E253" s="31">
        <v>200000</v>
      </c>
      <c r="F253" s="32">
        <f ca="1">INDIRECT(ADDRESS(ROW(),COLUMN()-2,4))*INDIRECT(ADDRESS(ROW(),COLUMN()-1,4))</f>
        <v>200000</v>
      </c>
    </row>
    <row r="254" spans="1:6" ht="20.399999999999999" x14ac:dyDescent="0.3">
      <c r="A254" s="28" t="s">
        <v>113</v>
      </c>
      <c r="B254" s="29" t="str">
        <f ca="1">IFERROR(INDEX(UNSPSCDes,MATCH(INDIRECT(ADDRESS(ROW(),COLUMN()-1,4)),UNSPSCCode,0)),IF(INDIRECT(ADDRESS(ROW(),COLUMN()-1,4))="72101517","Servicio de mantenimiento o reparación de generadores portátiles",""))</f>
        <v>Servicio de mantenimiento o reparación de generadores portátiles</v>
      </c>
      <c r="C254" s="30" t="str">
        <f>IFERROR(VLOOKUP("PAQ",'[1]Informacion '!P:Q,2,FALSE),"")</f>
        <v>Paquete</v>
      </c>
      <c r="D254" s="28">
        <v>1</v>
      </c>
      <c r="E254" s="31">
        <v>300000</v>
      </c>
      <c r="F254" s="32">
        <f ca="1">INDIRECT(ADDRESS(ROW(),COLUMN()-2,4))*INDIRECT(ADDRESS(ROW(),COLUMN()-1,4))</f>
        <v>300000</v>
      </c>
    </row>
    <row r="255" spans="1:6" x14ac:dyDescent="0.3">
      <c r="A255" s="19"/>
      <c r="B255" s="19"/>
      <c r="C255" s="19"/>
      <c r="D255" s="19"/>
      <c r="E255" s="33" t="s">
        <v>48</v>
      </c>
      <c r="F255" s="34">
        <f ca="1">SUM(Table23[MONTO TOTAL ESTIMADO])</f>
        <v>500000</v>
      </c>
    </row>
    <row r="256" spans="1:6" ht="15" thickBot="1" x14ac:dyDescent="0.35">
      <c r="A256" s="19"/>
      <c r="B256" s="19"/>
      <c r="C256" s="19"/>
      <c r="D256" s="19"/>
      <c r="E256" s="19"/>
      <c r="F256" s="19"/>
    </row>
    <row r="257" spans="1:6" ht="21" thickBot="1" x14ac:dyDescent="0.35">
      <c r="A257" s="20" t="s">
        <v>19</v>
      </c>
      <c r="B257" s="20" t="s">
        <v>20</v>
      </c>
      <c r="C257" s="20" t="s">
        <v>21</v>
      </c>
      <c r="D257" s="20" t="s">
        <v>22</v>
      </c>
      <c r="E257" s="20" t="s">
        <v>23</v>
      </c>
      <c r="F257" s="20" t="s">
        <v>24</v>
      </c>
    </row>
    <row r="258" spans="1:6" ht="15" thickBot="1" x14ac:dyDescent="0.35">
      <c r="A258" s="21" t="s">
        <v>114</v>
      </c>
      <c r="B258" s="21" t="s">
        <v>115</v>
      </c>
      <c r="C258" s="21" t="s">
        <v>27</v>
      </c>
      <c r="D258" s="21" t="s">
        <v>28</v>
      </c>
      <c r="E258" s="21" t="s">
        <v>54</v>
      </c>
      <c r="F258" s="21" t="s">
        <v>18</v>
      </c>
    </row>
    <row r="259" spans="1:6" ht="15" thickBot="1" x14ac:dyDescent="0.35">
      <c r="A259" s="41" t="s">
        <v>30</v>
      </c>
      <c r="B259" s="22" t="s">
        <v>31</v>
      </c>
      <c r="C259" s="23">
        <v>45031</v>
      </c>
      <c r="D259" s="41" t="s">
        <v>32</v>
      </c>
      <c r="E259" s="24" t="s">
        <v>33</v>
      </c>
      <c r="F259" s="25" t="s">
        <v>34</v>
      </c>
    </row>
    <row r="260" spans="1:6" ht="15" thickBot="1" x14ac:dyDescent="0.35">
      <c r="A260" s="42"/>
      <c r="B260" s="22" t="s">
        <v>35</v>
      </c>
      <c r="C260" s="26">
        <f>IF(C259="","",IF(AND(MONTH(C259)&gt;=1,MONTH(C259)&lt;=3),1,IF(AND(MONTH(C259)&gt;=4,MONTH(C259)&lt;=6),2,IF(AND(MONTH(C259)&gt;=7,MONTH(C259)&lt;=9),3,4))))</f>
        <v>2</v>
      </c>
      <c r="D260" s="42"/>
      <c r="E260" s="24" t="s">
        <v>36</v>
      </c>
      <c r="F260" s="25" t="s">
        <v>37</v>
      </c>
    </row>
    <row r="261" spans="1:6" ht="15" thickBot="1" x14ac:dyDescent="0.35">
      <c r="A261" s="42"/>
      <c r="B261" s="22" t="s">
        <v>38</v>
      </c>
      <c r="C261" s="23">
        <v>45061</v>
      </c>
      <c r="D261" s="42"/>
      <c r="E261" s="24" t="s">
        <v>39</v>
      </c>
      <c r="F261" s="25" t="s">
        <v>37</v>
      </c>
    </row>
    <row r="262" spans="1:6" ht="15" thickBot="1" x14ac:dyDescent="0.35">
      <c r="A262" s="42"/>
      <c r="B262" s="22" t="s">
        <v>35</v>
      </c>
      <c r="C262" s="26">
        <f>IF(C261="","",IF(AND(MONTH(C261)&gt;=1,MONTH(C261)&lt;=3),1,IF(AND(MONTH(C261)&gt;=4,MONTH(C261)&lt;=6),2,IF(AND(MONTH(C261)&gt;=7,MONTH(C261)&lt;=9),3,4))))</f>
        <v>2</v>
      </c>
      <c r="D262" s="42"/>
      <c r="E262" s="24" t="s">
        <v>40</v>
      </c>
      <c r="F262" s="25"/>
    </row>
    <row r="263" spans="1:6" ht="15" thickBot="1" x14ac:dyDescent="0.35">
      <c r="A263" s="19"/>
      <c r="B263" s="19"/>
      <c r="C263" s="19"/>
      <c r="D263" s="19"/>
      <c r="E263" s="19"/>
      <c r="F263" s="19"/>
    </row>
    <row r="264" spans="1:6" ht="15" thickBot="1" x14ac:dyDescent="0.35">
      <c r="A264" s="27" t="s">
        <v>41</v>
      </c>
      <c r="B264" s="27" t="s">
        <v>42</v>
      </c>
      <c r="C264" s="27" t="s">
        <v>43</v>
      </c>
      <c r="D264" s="27" t="s">
        <v>44</v>
      </c>
      <c r="E264" s="27" t="s">
        <v>45</v>
      </c>
      <c r="F264" s="27" t="s">
        <v>46</v>
      </c>
    </row>
    <row r="265" spans="1:6" x14ac:dyDescent="0.3">
      <c r="A265" s="28" t="s">
        <v>116</v>
      </c>
      <c r="B265" s="29" t="str">
        <f ca="1">IFERROR(INDEX(UNSPSCDes,MATCH(INDIRECT(ADDRESS(ROW(),COLUMN()-1,4)),UNSPSCCode,0)),IF(INDIRECT(ADDRESS(ROW(),COLUMN()-1,4))="72101607","Instalación o reparación de paredes",""))</f>
        <v>Instalación o reparación de paredes</v>
      </c>
      <c r="C265" s="30" t="str">
        <f>IFERROR(VLOOKUP("PAQ",'[1]Informacion '!P:Q,2,FALSE),"")</f>
        <v>Paquete</v>
      </c>
      <c r="D265" s="28">
        <v>1</v>
      </c>
      <c r="E265" s="31">
        <v>200000</v>
      </c>
      <c r="F265" s="32">
        <f ca="1">INDIRECT(ADDRESS(ROW(),COLUMN()-2,4))*INDIRECT(ADDRESS(ROW(),COLUMN()-1,4))</f>
        <v>200000</v>
      </c>
    </row>
    <row r="266" spans="1:6" x14ac:dyDescent="0.3">
      <c r="A266" s="28" t="s">
        <v>117</v>
      </c>
      <c r="B266" s="29" t="str">
        <f ca="1">IFERROR(INDEX(UNSPSCDes,MATCH(INDIRECT(ADDRESS(ROW(),COLUMN()-1,4)),UNSPSCCode,0)),IF(INDIRECT(ADDRESS(ROW(),COLUMN()-1,4))="72102304","Mantenimiento o reparación de sistemas de fontanería",""))</f>
        <v>Mantenimiento o reparación de sistemas de fontanería</v>
      </c>
      <c r="C266" s="30" t="str">
        <f>IFERROR(VLOOKUP("PAQ",'[1]Informacion '!P:Q,2,FALSE),"")</f>
        <v>Paquete</v>
      </c>
      <c r="D266" s="28">
        <v>1</v>
      </c>
      <c r="E266" s="31">
        <v>130000</v>
      </c>
      <c r="F266" s="32">
        <f ca="1">INDIRECT(ADDRESS(ROW(),COLUMN()-2,4))*INDIRECT(ADDRESS(ROW(),COLUMN()-1,4))</f>
        <v>130000</v>
      </c>
    </row>
    <row r="267" spans="1:6" x14ac:dyDescent="0.3">
      <c r="A267" s="28" t="s">
        <v>118</v>
      </c>
      <c r="B267" s="29" t="str">
        <f ca="1">IFERROR(INDEX(UNSPSCDes,MATCH(INDIRECT(ADDRESS(ROW(),COLUMN()-1,4)),UNSPSCCode,0)),IF(INDIRECT(ADDRESS(ROW(),COLUMN()-1,4))="72101601","Instalación o reparación de techos",""))</f>
        <v>Instalación o reparación de techos</v>
      </c>
      <c r="C267" s="30" t="str">
        <f>IFERROR(VLOOKUP("PAQ",'[1]Informacion '!P:Q,2,FALSE),"")</f>
        <v>Paquete</v>
      </c>
      <c r="D267" s="28">
        <v>1</v>
      </c>
      <c r="E267" s="31">
        <v>130000</v>
      </c>
      <c r="F267" s="32">
        <f ca="1">INDIRECT(ADDRESS(ROW(),COLUMN()-2,4))*INDIRECT(ADDRESS(ROW(),COLUMN()-1,4))</f>
        <v>130000</v>
      </c>
    </row>
    <row r="268" spans="1:6" x14ac:dyDescent="0.3">
      <c r="A268" s="19"/>
      <c r="B268" s="19"/>
      <c r="C268" s="19"/>
      <c r="D268" s="19"/>
      <c r="E268" s="33" t="s">
        <v>48</v>
      </c>
      <c r="F268" s="34">
        <f ca="1">SUM(Table24[MONTO TOTAL ESTIMADO])</f>
        <v>460000</v>
      </c>
    </row>
    <row r="269" spans="1:6" ht="15" thickBot="1" x14ac:dyDescent="0.35">
      <c r="A269" s="19"/>
      <c r="B269" s="19"/>
      <c r="C269" s="19"/>
      <c r="D269" s="19"/>
      <c r="E269" s="19"/>
      <c r="F269" s="19"/>
    </row>
    <row r="270" spans="1:6" ht="21" thickBot="1" x14ac:dyDescent="0.35">
      <c r="A270" s="20" t="s">
        <v>19</v>
      </c>
      <c r="B270" s="20" t="s">
        <v>20</v>
      </c>
      <c r="C270" s="20" t="s">
        <v>21</v>
      </c>
      <c r="D270" s="20" t="s">
        <v>22</v>
      </c>
      <c r="E270" s="20" t="s">
        <v>23</v>
      </c>
      <c r="F270" s="20" t="s">
        <v>24</v>
      </c>
    </row>
    <row r="271" spans="1:6" ht="15" thickBot="1" x14ac:dyDescent="0.35">
      <c r="A271" s="21" t="s">
        <v>119</v>
      </c>
      <c r="B271" s="21" t="s">
        <v>120</v>
      </c>
      <c r="C271" s="21" t="s">
        <v>60</v>
      </c>
      <c r="D271" s="21" t="s">
        <v>94</v>
      </c>
      <c r="E271" s="21" t="s">
        <v>29</v>
      </c>
      <c r="F271" s="21" t="s">
        <v>18</v>
      </c>
    </row>
    <row r="272" spans="1:6" ht="15" thickBot="1" x14ac:dyDescent="0.35">
      <c r="A272" s="41" t="s">
        <v>30</v>
      </c>
      <c r="B272" s="22" t="s">
        <v>31</v>
      </c>
      <c r="C272" s="23">
        <v>44972</v>
      </c>
      <c r="D272" s="41" t="s">
        <v>32</v>
      </c>
      <c r="E272" s="24" t="s">
        <v>33</v>
      </c>
      <c r="F272" s="25" t="s">
        <v>34</v>
      </c>
    </row>
    <row r="273" spans="1:6" ht="15" thickBot="1" x14ac:dyDescent="0.35">
      <c r="A273" s="42"/>
      <c r="B273" s="22" t="s">
        <v>35</v>
      </c>
      <c r="C273" s="26">
        <f>IF(C272="","",IF(AND(MONTH(C272)&gt;=1,MONTH(C272)&lt;=3),1,IF(AND(MONTH(C272)&gt;=4,MONTH(C272)&lt;=6),2,IF(AND(MONTH(C272)&gt;=7,MONTH(C272)&lt;=9),3,4))))</f>
        <v>1</v>
      </c>
      <c r="D273" s="42"/>
      <c r="E273" s="24" t="s">
        <v>36</v>
      </c>
      <c r="F273" s="25" t="s">
        <v>37</v>
      </c>
    </row>
    <row r="274" spans="1:6" ht="15" thickBot="1" x14ac:dyDescent="0.35">
      <c r="A274" s="42"/>
      <c r="B274" s="22" t="s">
        <v>38</v>
      </c>
      <c r="C274" s="23">
        <v>45000</v>
      </c>
      <c r="D274" s="42"/>
      <c r="E274" s="24" t="s">
        <v>39</v>
      </c>
      <c r="F274" s="25" t="s">
        <v>37</v>
      </c>
    </row>
    <row r="275" spans="1:6" ht="15" thickBot="1" x14ac:dyDescent="0.35">
      <c r="A275" s="42"/>
      <c r="B275" s="22" t="s">
        <v>35</v>
      </c>
      <c r="C275" s="26">
        <f>IF(C274="","",IF(AND(MONTH(C274)&gt;=1,MONTH(C274)&lt;=3),1,IF(AND(MONTH(C274)&gt;=4,MONTH(C274)&lt;=6),2,IF(AND(MONTH(C274)&gt;=7,MONTH(C274)&lt;=9),3,4))))</f>
        <v>1</v>
      </c>
      <c r="D275" s="42"/>
      <c r="E275" s="24" t="s">
        <v>40</v>
      </c>
      <c r="F275" s="25"/>
    </row>
    <row r="276" spans="1:6" ht="15" thickBot="1" x14ac:dyDescent="0.35">
      <c r="A276" s="19"/>
      <c r="B276" s="19"/>
      <c r="C276" s="19"/>
      <c r="D276" s="19"/>
      <c r="E276" s="19"/>
      <c r="F276" s="19"/>
    </row>
    <row r="277" spans="1:6" ht="15" thickBot="1" x14ac:dyDescent="0.35">
      <c r="A277" s="27" t="s">
        <v>41</v>
      </c>
      <c r="B277" s="27" t="s">
        <v>42</v>
      </c>
      <c r="C277" s="27" t="s">
        <v>43</v>
      </c>
      <c r="D277" s="27" t="s">
        <v>44</v>
      </c>
      <c r="E277" s="27" t="s">
        <v>45</v>
      </c>
      <c r="F277" s="27" t="s">
        <v>46</v>
      </c>
    </row>
    <row r="278" spans="1:6" x14ac:dyDescent="0.3">
      <c r="A278" s="28" t="s">
        <v>121</v>
      </c>
      <c r="B278" s="29" t="str">
        <f ca="1">IFERROR(INDEX(UNSPSCDes,MATCH(INDIRECT(ADDRESS(ROW(),COLUMN()-1,4)),UNSPSCCode,0)),IF(INDIRECT(ADDRESS(ROW(),COLUMN()-1,4))="52121604","Manteles",""))</f>
        <v>Manteles</v>
      </c>
      <c r="C278" s="30" t="str">
        <f>IFERROR(VLOOKUP("UD",'[1]Informacion '!P:Q,2,FALSE),"")</f>
        <v>Unidad</v>
      </c>
      <c r="D278" s="28">
        <v>12</v>
      </c>
      <c r="E278" s="31">
        <v>6844</v>
      </c>
      <c r="F278" s="32">
        <f ca="1">INDIRECT(ADDRESS(ROW(),COLUMN()-2,4))*INDIRECT(ADDRESS(ROW(),COLUMN()-1,4))</f>
        <v>82128</v>
      </c>
    </row>
    <row r="279" spans="1:6" x14ac:dyDescent="0.3">
      <c r="A279" s="28" t="s">
        <v>122</v>
      </c>
      <c r="B279" s="29" t="str">
        <f ca="1">IFERROR(INDEX(UNSPSCDes,MATCH(INDIRECT(ADDRESS(ROW(),COLUMN()-1,4)),UNSPSCCode,0)),IF(INDIRECT(ADDRESS(ROW(),COLUMN()-1,4))="52121602","Servilletas",""))</f>
        <v>Servilletas</v>
      </c>
      <c r="C279" s="30" t="str">
        <f>IFERROR(VLOOKUP("UD",'[1]Informacion '!P:Q,2,FALSE),"")</f>
        <v>Unidad</v>
      </c>
      <c r="D279" s="28">
        <v>36</v>
      </c>
      <c r="E279" s="31">
        <v>188.8</v>
      </c>
      <c r="F279" s="32">
        <f ca="1">INDIRECT(ADDRESS(ROW(),COLUMN()-2,4))*INDIRECT(ADDRESS(ROW(),COLUMN()-1,4))</f>
        <v>6796.8</v>
      </c>
    </row>
    <row r="280" spans="1:6" x14ac:dyDescent="0.3">
      <c r="A280" s="28" t="s">
        <v>123</v>
      </c>
      <c r="B280" s="29" t="str">
        <f ca="1">IFERROR(INDEX(UNSPSCDes,MATCH(INDIRECT(ADDRESS(ROW(),COLUMN()-1,4)),UNSPSCCode,0)),IF(INDIRECT(ADDRESS(ROW(),COLUMN()-1,4))="52121606","Individuales de mesa",""))</f>
        <v>Individuales de mesa</v>
      </c>
      <c r="C280" s="30" t="str">
        <f>IFERROR(VLOOKUP("UD",'[1]Informacion '!P:Q,2,FALSE),"")</f>
        <v>Unidad</v>
      </c>
      <c r="D280" s="28">
        <v>36</v>
      </c>
      <c r="E280" s="31">
        <v>206.5</v>
      </c>
      <c r="F280" s="32">
        <f ca="1">INDIRECT(ADDRESS(ROW(),COLUMN()-2,4))*INDIRECT(ADDRESS(ROW(),COLUMN()-1,4))</f>
        <v>7434</v>
      </c>
    </row>
    <row r="281" spans="1:6" x14ac:dyDescent="0.3">
      <c r="A281" s="28" t="s">
        <v>124</v>
      </c>
      <c r="B281" s="29" t="str">
        <f ca="1">IFERROR(INDEX(UNSPSCDes,MATCH(INDIRECT(ADDRESS(ROW(),COLUMN()-1,4)),UNSPSCCode,0)),IF(INDIRECT(ADDRESS(ROW(),COLUMN()-1,4))="52121607","Faldas de mesa",""))</f>
        <v>Faldas de mesa</v>
      </c>
      <c r="C281" s="30" t="str">
        <f>IFERROR(VLOOKUP("UD",'[1]Informacion '!P:Q,2,FALSE),"")</f>
        <v>Unidad</v>
      </c>
      <c r="D281" s="28">
        <v>12</v>
      </c>
      <c r="E281" s="31">
        <v>6844</v>
      </c>
      <c r="F281" s="32">
        <f ca="1">INDIRECT(ADDRESS(ROW(),COLUMN()-2,4))*INDIRECT(ADDRESS(ROW(),COLUMN()-1,4))</f>
        <v>82128</v>
      </c>
    </row>
    <row r="282" spans="1:6" x14ac:dyDescent="0.3">
      <c r="A282" s="19"/>
      <c r="B282" s="19"/>
      <c r="C282" s="19"/>
      <c r="D282" s="19"/>
      <c r="E282" s="33" t="s">
        <v>48</v>
      </c>
      <c r="F282" s="34">
        <f ca="1">SUM(Table25[MONTO TOTAL ESTIMADO])</f>
        <v>178486.8</v>
      </c>
    </row>
    <row r="283" spans="1:6" ht="15" thickBot="1" x14ac:dyDescent="0.35">
      <c r="A283" s="19"/>
      <c r="B283" s="19"/>
      <c r="C283" s="19"/>
      <c r="D283" s="19"/>
      <c r="E283" s="19"/>
      <c r="F283" s="19"/>
    </row>
    <row r="284" spans="1:6" ht="21" thickBot="1" x14ac:dyDescent="0.35">
      <c r="A284" s="20" t="s">
        <v>19</v>
      </c>
      <c r="B284" s="20" t="s">
        <v>20</v>
      </c>
      <c r="C284" s="20" t="s">
        <v>21</v>
      </c>
      <c r="D284" s="20" t="s">
        <v>22</v>
      </c>
      <c r="E284" s="20" t="s">
        <v>23</v>
      </c>
      <c r="F284" s="20" t="s">
        <v>24</v>
      </c>
    </row>
    <row r="285" spans="1:6" ht="15" thickBot="1" x14ac:dyDescent="0.35">
      <c r="A285" s="21" t="s">
        <v>125</v>
      </c>
      <c r="B285" s="21" t="s">
        <v>120</v>
      </c>
      <c r="C285" s="21" t="s">
        <v>60</v>
      </c>
      <c r="D285" s="21" t="s">
        <v>28</v>
      </c>
      <c r="E285" s="21" t="s">
        <v>29</v>
      </c>
      <c r="F285" s="21" t="s">
        <v>18</v>
      </c>
    </row>
    <row r="286" spans="1:6" ht="15" thickBot="1" x14ac:dyDescent="0.35">
      <c r="A286" s="41" t="s">
        <v>30</v>
      </c>
      <c r="B286" s="22" t="s">
        <v>31</v>
      </c>
      <c r="C286" s="23">
        <v>44972</v>
      </c>
      <c r="D286" s="41" t="s">
        <v>32</v>
      </c>
      <c r="E286" s="24" t="s">
        <v>33</v>
      </c>
      <c r="F286" s="25" t="s">
        <v>34</v>
      </c>
    </row>
    <row r="287" spans="1:6" ht="15" thickBot="1" x14ac:dyDescent="0.35">
      <c r="A287" s="42"/>
      <c r="B287" s="22" t="s">
        <v>35</v>
      </c>
      <c r="C287" s="26">
        <f>IF(C286="","",IF(AND(MONTH(C286)&gt;=1,MONTH(C286)&lt;=3),1,IF(AND(MONTH(C286)&gt;=4,MONTH(C286)&lt;=6),2,IF(AND(MONTH(C286)&gt;=7,MONTH(C286)&lt;=9),3,4))))</f>
        <v>1</v>
      </c>
      <c r="D287" s="42"/>
      <c r="E287" s="24" t="s">
        <v>36</v>
      </c>
      <c r="F287" s="25" t="s">
        <v>37</v>
      </c>
    </row>
    <row r="288" spans="1:6" ht="15" thickBot="1" x14ac:dyDescent="0.35">
      <c r="A288" s="42"/>
      <c r="B288" s="22" t="s">
        <v>38</v>
      </c>
      <c r="C288" s="23">
        <v>45000</v>
      </c>
      <c r="D288" s="42"/>
      <c r="E288" s="24" t="s">
        <v>39</v>
      </c>
      <c r="F288" s="25" t="s">
        <v>37</v>
      </c>
    </row>
    <row r="289" spans="1:6" ht="15" thickBot="1" x14ac:dyDescent="0.35">
      <c r="A289" s="42"/>
      <c r="B289" s="22" t="s">
        <v>35</v>
      </c>
      <c r="C289" s="26">
        <f>IF(C288="","",IF(AND(MONTH(C288)&gt;=1,MONTH(C288)&lt;=3),1,IF(AND(MONTH(C288)&gt;=4,MONTH(C288)&lt;=6),2,IF(AND(MONTH(C288)&gt;=7,MONTH(C288)&lt;=9),3,4))))</f>
        <v>1</v>
      </c>
      <c r="D289" s="42"/>
      <c r="E289" s="24" t="s">
        <v>40</v>
      </c>
      <c r="F289" s="25"/>
    </row>
    <row r="290" spans="1:6" ht="15" thickBot="1" x14ac:dyDescent="0.35">
      <c r="A290" s="19"/>
      <c r="B290" s="19"/>
      <c r="C290" s="19"/>
      <c r="D290" s="19"/>
      <c r="E290" s="19"/>
      <c r="F290" s="19"/>
    </row>
    <row r="291" spans="1:6" ht="15" thickBot="1" x14ac:dyDescent="0.35">
      <c r="A291" s="27" t="s">
        <v>41</v>
      </c>
      <c r="B291" s="27" t="s">
        <v>42</v>
      </c>
      <c r="C291" s="27" t="s">
        <v>43</v>
      </c>
      <c r="D291" s="27" t="s">
        <v>44</v>
      </c>
      <c r="E291" s="27" t="s">
        <v>45</v>
      </c>
      <c r="F291" s="27" t="s">
        <v>46</v>
      </c>
    </row>
    <row r="292" spans="1:6" x14ac:dyDescent="0.3">
      <c r="A292" s="28" t="s">
        <v>126</v>
      </c>
      <c r="B292" s="29" t="str">
        <f ca="1">IFERROR(INDEX(UNSPSCDes,MATCH(INDIRECT(ADDRESS(ROW(),COLUMN()-1,4)),UNSPSCCode,0)),IF(INDIRECT(ADDRESS(ROW(),COLUMN()-1,4))="53121603","Morrales",""))</f>
        <v>Morrales</v>
      </c>
      <c r="C292" s="30" t="str">
        <f>IFERROR(VLOOKUP("UD",'[1]Informacion '!P:Q,2,FALSE),"")</f>
        <v>Unidad</v>
      </c>
      <c r="D292" s="28">
        <v>200</v>
      </c>
      <c r="E292" s="31">
        <v>2500</v>
      </c>
      <c r="F292" s="32">
        <f ca="1">INDIRECT(ADDRESS(ROW(),COLUMN()-2,4))*INDIRECT(ADDRESS(ROW(),COLUMN()-1,4))</f>
        <v>500000</v>
      </c>
    </row>
    <row r="293" spans="1:6" x14ac:dyDescent="0.3">
      <c r="A293" s="19"/>
      <c r="B293" s="19"/>
      <c r="C293" s="19"/>
      <c r="D293" s="19"/>
      <c r="E293" s="33" t="s">
        <v>48</v>
      </c>
      <c r="F293" s="34">
        <f ca="1">SUM(Table26[MONTO TOTAL ESTIMADO])</f>
        <v>500000</v>
      </c>
    </row>
    <row r="294" spans="1:6" ht="15" thickBot="1" x14ac:dyDescent="0.35">
      <c r="A294" s="19"/>
      <c r="B294" s="19"/>
      <c r="C294" s="19"/>
      <c r="D294" s="19"/>
      <c r="E294" s="19"/>
      <c r="F294" s="19"/>
    </row>
    <row r="295" spans="1:6" ht="21" thickBot="1" x14ac:dyDescent="0.35">
      <c r="A295" s="20" t="s">
        <v>19</v>
      </c>
      <c r="B295" s="20" t="s">
        <v>20</v>
      </c>
      <c r="C295" s="20" t="s">
        <v>21</v>
      </c>
      <c r="D295" s="20" t="s">
        <v>22</v>
      </c>
      <c r="E295" s="20" t="s">
        <v>23</v>
      </c>
      <c r="F295" s="20" t="s">
        <v>24</v>
      </c>
    </row>
    <row r="296" spans="1:6" ht="15" thickBot="1" x14ac:dyDescent="0.35">
      <c r="A296" s="21" t="s">
        <v>127</v>
      </c>
      <c r="B296" s="21" t="s">
        <v>127</v>
      </c>
      <c r="C296" s="21" t="s">
        <v>60</v>
      </c>
      <c r="D296" s="21" t="s">
        <v>28</v>
      </c>
      <c r="E296" s="21" t="s">
        <v>54</v>
      </c>
      <c r="F296" s="21" t="s">
        <v>18</v>
      </c>
    </row>
    <row r="297" spans="1:6" ht="15" thickBot="1" x14ac:dyDescent="0.35">
      <c r="A297" s="41" t="s">
        <v>30</v>
      </c>
      <c r="B297" s="22" t="s">
        <v>31</v>
      </c>
      <c r="C297" s="23">
        <v>45000</v>
      </c>
      <c r="D297" s="41" t="s">
        <v>32</v>
      </c>
      <c r="E297" s="24" t="s">
        <v>33</v>
      </c>
      <c r="F297" s="25" t="s">
        <v>34</v>
      </c>
    </row>
    <row r="298" spans="1:6" ht="15" thickBot="1" x14ac:dyDescent="0.35">
      <c r="A298" s="42"/>
      <c r="B298" s="22" t="s">
        <v>35</v>
      </c>
      <c r="C298" s="26">
        <f>IF(C297="","",IF(AND(MONTH(C297)&gt;=1,MONTH(C297)&lt;=3),1,IF(AND(MONTH(C297)&gt;=4,MONTH(C297)&lt;=6),2,IF(AND(MONTH(C297)&gt;=7,MONTH(C297)&lt;=9),3,4))))</f>
        <v>1</v>
      </c>
      <c r="D298" s="42"/>
      <c r="E298" s="24" t="s">
        <v>36</v>
      </c>
      <c r="F298" s="25" t="s">
        <v>37</v>
      </c>
    </row>
    <row r="299" spans="1:6" ht="15" thickBot="1" x14ac:dyDescent="0.35">
      <c r="A299" s="42"/>
      <c r="B299" s="22" t="s">
        <v>38</v>
      </c>
      <c r="C299" s="23">
        <v>45031</v>
      </c>
      <c r="D299" s="42"/>
      <c r="E299" s="24" t="s">
        <v>39</v>
      </c>
      <c r="F299" s="25" t="s">
        <v>37</v>
      </c>
    </row>
    <row r="300" spans="1:6" ht="15" thickBot="1" x14ac:dyDescent="0.35">
      <c r="A300" s="42"/>
      <c r="B300" s="22" t="s">
        <v>35</v>
      </c>
      <c r="C300" s="26">
        <f>IF(C299="","",IF(AND(MONTH(C299)&gt;=1,MONTH(C299)&lt;=3),1,IF(AND(MONTH(C299)&gt;=4,MONTH(C299)&lt;=6),2,IF(AND(MONTH(C299)&gt;=7,MONTH(C299)&lt;=9),3,4))))</f>
        <v>2</v>
      </c>
      <c r="D300" s="42"/>
      <c r="E300" s="24" t="s">
        <v>40</v>
      </c>
      <c r="F300" s="25"/>
    </row>
    <row r="301" spans="1:6" ht="15" thickBot="1" x14ac:dyDescent="0.35">
      <c r="A301" s="19"/>
      <c r="B301" s="19"/>
      <c r="C301" s="19"/>
      <c r="D301" s="19"/>
      <c r="E301" s="19"/>
      <c r="F301" s="19"/>
    </row>
    <row r="302" spans="1:6" ht="15" thickBot="1" x14ac:dyDescent="0.35">
      <c r="A302" s="27" t="s">
        <v>41</v>
      </c>
      <c r="B302" s="27" t="s">
        <v>42</v>
      </c>
      <c r="C302" s="27" t="s">
        <v>43</v>
      </c>
      <c r="D302" s="27" t="s">
        <v>44</v>
      </c>
      <c r="E302" s="27" t="s">
        <v>45</v>
      </c>
      <c r="F302" s="27" t="s">
        <v>46</v>
      </c>
    </row>
    <row r="303" spans="1:6" ht="20.399999999999999" x14ac:dyDescent="0.3">
      <c r="A303" s="28" t="s">
        <v>128</v>
      </c>
      <c r="B303" s="29" t="str">
        <f ca="1">IFERROR(INDEX(UNSPSCDes,MATCH(INDIRECT(ADDRESS(ROW(),COLUMN()-1,4)),UNSPSCCode,0)),IF(INDIRECT(ADDRESS(ROW(),COLUMN()-1,4))="53102704","Uniformes institucionales para preparación de alimentos o servicio",""))</f>
        <v>Uniformes institucionales para preparación de alimentos o servicio</v>
      </c>
      <c r="C303" s="30" t="str">
        <f>IFERROR(VLOOKUP("PAQ",'[1]Informacion '!P:Q,2,FALSE),"")</f>
        <v>Paquete</v>
      </c>
      <c r="D303" s="28">
        <v>20</v>
      </c>
      <c r="E303" s="31">
        <v>4500</v>
      </c>
      <c r="F303" s="32">
        <f t="shared" ref="F303:F311" ca="1" si="2">INDIRECT(ADDRESS(ROW(),COLUMN()-2,4))*INDIRECT(ADDRESS(ROW(),COLUMN()-1,4))</f>
        <v>90000</v>
      </c>
    </row>
    <row r="304" spans="1:6" x14ac:dyDescent="0.3">
      <c r="A304" s="28" t="s">
        <v>129</v>
      </c>
      <c r="B304" s="29" t="str">
        <f ca="1">IFERROR(INDEX(UNSPSCDes,MATCH(INDIRECT(ADDRESS(ROW(),COLUMN()-1,4)),UNSPSCCode,0)),IF(INDIRECT(ADDRESS(ROW(),COLUMN()-1,4))="53102710","Uniformes corporativos",""))</f>
        <v>Uniformes corporativos</v>
      </c>
      <c r="C304" s="30" t="str">
        <f>IFERROR(VLOOKUP("PAQ",'[1]Informacion '!P:Q,2,FALSE),"")</f>
        <v>Paquete</v>
      </c>
      <c r="D304" s="28">
        <v>20</v>
      </c>
      <c r="E304" s="31">
        <v>9000</v>
      </c>
      <c r="F304" s="32">
        <f t="shared" ca="1" si="2"/>
        <v>180000</v>
      </c>
    </row>
    <row r="305" spans="1:6" x14ac:dyDescent="0.3">
      <c r="A305" s="28" t="s">
        <v>130</v>
      </c>
      <c r="B305" s="29" t="str">
        <f ca="1">IFERROR(INDEX(UNSPSCDes,MATCH(INDIRECT(ADDRESS(ROW(),COLUMN()-1,4)),UNSPSCCode,0)),IF(INDIRECT(ADDRESS(ROW(),COLUMN()-1,4))="53103001","Camisetas (t-shirts)",""))</f>
        <v>Camisetas (t-shirts)</v>
      </c>
      <c r="C305" s="30" t="str">
        <f>IFERROR(VLOOKUP("UD",'[1]Informacion '!P:Q,2,FALSE),"")</f>
        <v>Unidad</v>
      </c>
      <c r="D305" s="28">
        <v>100</v>
      </c>
      <c r="E305" s="31">
        <v>450</v>
      </c>
      <c r="F305" s="32">
        <f t="shared" ca="1" si="2"/>
        <v>45000</v>
      </c>
    </row>
    <row r="306" spans="1:6" x14ac:dyDescent="0.3">
      <c r="A306" s="28" t="s">
        <v>131</v>
      </c>
      <c r="B306" s="29" t="str">
        <f ca="1">IFERROR(INDEX(UNSPSCDes,MATCH(INDIRECT(ADDRESS(ROW(),COLUMN()-1,4)),UNSPSCCode,0)),IF(INDIRECT(ADDRESS(ROW(),COLUMN()-1,4))="53101702","Sweaters para hombre",""))</f>
        <v>Sweaters para hombre</v>
      </c>
      <c r="C306" s="30" t="str">
        <f>IFERROR(VLOOKUP("UD",'[1]Informacion '!P:Q,2,FALSE),"")</f>
        <v>Unidad</v>
      </c>
      <c r="D306" s="28">
        <v>100</v>
      </c>
      <c r="E306" s="31">
        <v>600</v>
      </c>
      <c r="F306" s="32">
        <f t="shared" ca="1" si="2"/>
        <v>60000</v>
      </c>
    </row>
    <row r="307" spans="1:6" x14ac:dyDescent="0.3">
      <c r="A307" s="28" t="s">
        <v>132</v>
      </c>
      <c r="B307" s="29" t="str">
        <f ca="1">IFERROR(INDEX(UNSPSCDes,MATCH(INDIRECT(ADDRESS(ROW(),COLUMN()-1,4)),UNSPSCCode,0)),IF(INDIRECT(ADDRESS(ROW(),COLUMN()-1,4))="53101704","Sweaters para mujer",""))</f>
        <v>Sweaters para mujer</v>
      </c>
      <c r="C307" s="30" t="str">
        <f>IFERROR(VLOOKUP("UD",'[1]Informacion '!P:Q,2,FALSE),"")</f>
        <v>Unidad</v>
      </c>
      <c r="D307" s="28">
        <v>50</v>
      </c>
      <c r="E307" s="31">
        <v>600</v>
      </c>
      <c r="F307" s="32">
        <f t="shared" ca="1" si="2"/>
        <v>30000</v>
      </c>
    </row>
    <row r="308" spans="1:6" x14ac:dyDescent="0.3">
      <c r="A308" s="28" t="s">
        <v>133</v>
      </c>
      <c r="B308" s="29" t="str">
        <f ca="1">IFERROR(INDEX(UNSPSCDes,MATCH(INDIRECT(ADDRESS(ROW(),COLUMN()-1,4)),UNSPSCCode,0)),IF(INDIRECT(ADDRESS(ROW(),COLUMN()-1,4))="53101602","Camisas para hombre",""))</f>
        <v>Camisas para hombre</v>
      </c>
      <c r="C308" s="30" t="str">
        <f>IFERROR(VLOOKUP("UD",'[1]Informacion '!P:Q,2,FALSE),"")</f>
        <v>Unidad</v>
      </c>
      <c r="D308" s="28">
        <v>100</v>
      </c>
      <c r="E308" s="31">
        <v>2800</v>
      </c>
      <c r="F308" s="32">
        <f t="shared" ca="1" si="2"/>
        <v>280000</v>
      </c>
    </row>
    <row r="309" spans="1:6" x14ac:dyDescent="0.3">
      <c r="A309" s="28" t="s">
        <v>134</v>
      </c>
      <c r="B309" s="29" t="str">
        <f ca="1">IFERROR(INDEX(UNSPSCDes,MATCH(INDIRECT(ADDRESS(ROW(),COLUMN()-1,4)),UNSPSCCode,0)),IF(INDIRECT(ADDRESS(ROW(),COLUMN()-1,4))="53101604","Camisas o blusas para mujer",""))</f>
        <v>Camisas o blusas para mujer</v>
      </c>
      <c r="C309" s="30" t="str">
        <f>IFERROR(VLOOKUP("UD",'[1]Informacion '!P:Q,2,FALSE),"")</f>
        <v>Unidad</v>
      </c>
      <c r="D309" s="28">
        <v>50</v>
      </c>
      <c r="E309" s="31">
        <v>2800</v>
      </c>
      <c r="F309" s="32">
        <f t="shared" ca="1" si="2"/>
        <v>140000</v>
      </c>
    </row>
    <row r="310" spans="1:6" x14ac:dyDescent="0.3">
      <c r="A310" s="28" t="s">
        <v>135</v>
      </c>
      <c r="B310" s="29" t="str">
        <f ca="1">IFERROR(INDEX(UNSPSCDes,MATCH(INDIRECT(ADDRESS(ROW(),COLUMN()-1,4)),UNSPSCCode,0)),IF(INDIRECT(ADDRESS(ROW(),COLUMN()-1,4))="53101502","Pantalones largos o cortos o pantalonetas para hombre",""))</f>
        <v>Pantalones largos o cortos o pantalonetas para hombre</v>
      </c>
      <c r="C310" s="30" t="str">
        <f>IFERROR(VLOOKUP("UD",'[1]Informacion '!P:Q,2,FALSE),"")</f>
        <v>Unidad</v>
      </c>
      <c r="D310" s="28">
        <v>100</v>
      </c>
      <c r="E310" s="31">
        <v>1600</v>
      </c>
      <c r="F310" s="32">
        <f t="shared" ca="1" si="2"/>
        <v>160000</v>
      </c>
    </row>
    <row r="311" spans="1:6" x14ac:dyDescent="0.3">
      <c r="A311" s="28" t="s">
        <v>136</v>
      </c>
      <c r="B311" s="29" t="str">
        <f ca="1">IFERROR(INDEX(UNSPSCDes,MATCH(INDIRECT(ADDRESS(ROW(),COLUMN()-1,4)),UNSPSCCode,0)),IF(INDIRECT(ADDRESS(ROW(),COLUMN()-1,4))="53102516","Gorras",""))</f>
        <v>Gorras</v>
      </c>
      <c r="C311" s="30" t="str">
        <f>IFERROR(VLOOKUP("UD",'[1]Informacion '!P:Q,2,FALSE),"")</f>
        <v>Unidad</v>
      </c>
      <c r="D311" s="28">
        <v>100</v>
      </c>
      <c r="E311" s="31">
        <v>300</v>
      </c>
      <c r="F311" s="32">
        <f t="shared" ca="1" si="2"/>
        <v>30000</v>
      </c>
    </row>
    <row r="312" spans="1:6" x14ac:dyDescent="0.3">
      <c r="A312" s="19"/>
      <c r="B312" s="19"/>
      <c r="C312" s="19"/>
      <c r="D312" s="19"/>
      <c r="E312" s="33" t="s">
        <v>48</v>
      </c>
      <c r="F312" s="34">
        <f ca="1">SUM(Table27[MONTO TOTAL ESTIMADO])</f>
        <v>1015000</v>
      </c>
    </row>
    <row r="313" spans="1:6" ht="15" thickBot="1" x14ac:dyDescent="0.35">
      <c r="A313" s="19"/>
      <c r="B313" s="19"/>
      <c r="C313" s="19"/>
      <c r="D313" s="19"/>
      <c r="E313" s="19"/>
      <c r="F313" s="19"/>
    </row>
    <row r="314" spans="1:6" ht="21" thickBot="1" x14ac:dyDescent="0.35">
      <c r="A314" s="20" t="s">
        <v>19</v>
      </c>
      <c r="B314" s="20" t="s">
        <v>20</v>
      </c>
      <c r="C314" s="20" t="s">
        <v>21</v>
      </c>
      <c r="D314" s="20" t="s">
        <v>22</v>
      </c>
      <c r="E314" s="20" t="s">
        <v>23</v>
      </c>
      <c r="F314" s="20" t="s">
        <v>24</v>
      </c>
    </row>
    <row r="315" spans="1:6" ht="15" thickBot="1" x14ac:dyDescent="0.35">
      <c r="A315" s="21" t="s">
        <v>127</v>
      </c>
      <c r="B315" s="21" t="s">
        <v>127</v>
      </c>
      <c r="C315" s="21" t="s">
        <v>60</v>
      </c>
      <c r="D315" s="21" t="s">
        <v>61</v>
      </c>
      <c r="E315" s="21" t="s">
        <v>54</v>
      </c>
      <c r="F315" s="21" t="s">
        <v>18</v>
      </c>
    </row>
    <row r="316" spans="1:6" ht="15" thickBot="1" x14ac:dyDescent="0.35">
      <c r="A316" s="41" t="s">
        <v>30</v>
      </c>
      <c r="B316" s="22" t="s">
        <v>31</v>
      </c>
      <c r="C316" s="23">
        <v>45153</v>
      </c>
      <c r="D316" s="41" t="s">
        <v>32</v>
      </c>
      <c r="E316" s="24" t="s">
        <v>33</v>
      </c>
      <c r="F316" s="25" t="s">
        <v>34</v>
      </c>
    </row>
    <row r="317" spans="1:6" ht="15" thickBot="1" x14ac:dyDescent="0.35">
      <c r="A317" s="42"/>
      <c r="B317" s="22" t="s">
        <v>35</v>
      </c>
      <c r="C317" s="26">
        <f>IF(C316="","",IF(AND(MONTH(C316)&gt;=1,MONTH(C316)&lt;=3),1,IF(AND(MONTH(C316)&gt;=4,MONTH(C316)&lt;=6),2,IF(AND(MONTH(C316)&gt;=7,MONTH(C316)&lt;=9),3,4))))</f>
        <v>3</v>
      </c>
      <c r="D317" s="42"/>
      <c r="E317" s="24" t="s">
        <v>36</v>
      </c>
      <c r="F317" s="25" t="s">
        <v>37</v>
      </c>
    </row>
    <row r="318" spans="1:6" ht="15" thickBot="1" x14ac:dyDescent="0.35">
      <c r="A318" s="42"/>
      <c r="B318" s="22" t="s">
        <v>38</v>
      </c>
      <c r="C318" s="23">
        <v>45214</v>
      </c>
      <c r="D318" s="42"/>
      <c r="E318" s="24" t="s">
        <v>39</v>
      </c>
      <c r="F318" s="25" t="s">
        <v>37</v>
      </c>
    </row>
    <row r="319" spans="1:6" ht="15" thickBot="1" x14ac:dyDescent="0.35">
      <c r="A319" s="42"/>
      <c r="B319" s="22" t="s">
        <v>35</v>
      </c>
      <c r="C319" s="26">
        <f>IF(C318="","",IF(AND(MONTH(C318)&gt;=1,MONTH(C318)&lt;=3),1,IF(AND(MONTH(C318)&gt;=4,MONTH(C318)&lt;=6),2,IF(AND(MONTH(C318)&gt;=7,MONTH(C318)&lt;=9),3,4))))</f>
        <v>4</v>
      </c>
      <c r="D319" s="42"/>
      <c r="E319" s="24" t="s">
        <v>40</v>
      </c>
      <c r="F319" s="25"/>
    </row>
    <row r="320" spans="1:6" ht="15" thickBot="1" x14ac:dyDescent="0.35">
      <c r="A320" s="19"/>
      <c r="B320" s="19"/>
      <c r="C320" s="19"/>
      <c r="D320" s="19"/>
      <c r="E320" s="19"/>
      <c r="F320" s="19"/>
    </row>
    <row r="321" spans="1:6" ht="15" thickBot="1" x14ac:dyDescent="0.35">
      <c r="A321" s="27" t="s">
        <v>41</v>
      </c>
      <c r="B321" s="27" t="s">
        <v>42</v>
      </c>
      <c r="C321" s="27" t="s">
        <v>43</v>
      </c>
      <c r="D321" s="27" t="s">
        <v>44</v>
      </c>
      <c r="E321" s="27" t="s">
        <v>45</v>
      </c>
      <c r="F321" s="27" t="s">
        <v>46</v>
      </c>
    </row>
    <row r="322" spans="1:6" ht="20.399999999999999" x14ac:dyDescent="0.3">
      <c r="A322" s="28" t="s">
        <v>128</v>
      </c>
      <c r="B322" s="29" t="str">
        <f ca="1">IFERROR(INDEX(UNSPSCDes,MATCH(INDIRECT(ADDRESS(ROW(),COLUMN()-1,4)),UNSPSCCode,0)),IF(INDIRECT(ADDRESS(ROW(),COLUMN()-1,4))="53102704","Uniformes institucionales para preparación de alimentos o servicio",""))</f>
        <v>Uniformes institucionales para preparación de alimentos o servicio</v>
      </c>
      <c r="C322" s="30" t="str">
        <f>IFERROR(VLOOKUP("PAQ",'[1]Informacion '!P:Q,2,FALSE),"")</f>
        <v>Paquete</v>
      </c>
      <c r="D322" s="28">
        <v>40</v>
      </c>
      <c r="E322" s="31">
        <v>4500</v>
      </c>
      <c r="F322" s="32">
        <f t="shared" ref="F322:F330" ca="1" si="3">INDIRECT(ADDRESS(ROW(),COLUMN()-2,4))*INDIRECT(ADDRESS(ROW(),COLUMN()-1,4))</f>
        <v>180000</v>
      </c>
    </row>
    <row r="323" spans="1:6" x14ac:dyDescent="0.3">
      <c r="A323" s="28" t="s">
        <v>129</v>
      </c>
      <c r="B323" s="29" t="str">
        <f ca="1">IFERROR(INDEX(UNSPSCDes,MATCH(INDIRECT(ADDRESS(ROW(),COLUMN()-1,4)),UNSPSCCode,0)),IF(INDIRECT(ADDRESS(ROW(),COLUMN()-1,4))="53102710","Uniformes corporativos",""))</f>
        <v>Uniformes corporativos</v>
      </c>
      <c r="C323" s="30" t="str">
        <f>IFERROR(VLOOKUP("PAQ",'[1]Informacion '!P:Q,2,FALSE),"")</f>
        <v>Paquete</v>
      </c>
      <c r="D323" s="28">
        <v>40</v>
      </c>
      <c r="E323" s="31">
        <v>9000</v>
      </c>
      <c r="F323" s="32">
        <f t="shared" ca="1" si="3"/>
        <v>360000</v>
      </c>
    </row>
    <row r="324" spans="1:6" x14ac:dyDescent="0.3">
      <c r="A324" s="28" t="s">
        <v>130</v>
      </c>
      <c r="B324" s="29" t="str">
        <f ca="1">IFERROR(INDEX(UNSPSCDes,MATCH(INDIRECT(ADDRESS(ROW(),COLUMN()-1,4)),UNSPSCCode,0)),IF(INDIRECT(ADDRESS(ROW(),COLUMN()-1,4))="53103001","Camisetas (t-shirts)",""))</f>
        <v>Camisetas (t-shirts)</v>
      </c>
      <c r="C324" s="30" t="str">
        <f>IFERROR(VLOOKUP("UD",'[1]Informacion '!P:Q,2,FALSE),"")</f>
        <v>Unidad</v>
      </c>
      <c r="D324" s="28">
        <v>300</v>
      </c>
      <c r="E324" s="31">
        <v>450</v>
      </c>
      <c r="F324" s="32">
        <f t="shared" ca="1" si="3"/>
        <v>135000</v>
      </c>
    </row>
    <row r="325" spans="1:6" x14ac:dyDescent="0.3">
      <c r="A325" s="28" t="s">
        <v>131</v>
      </c>
      <c r="B325" s="29" t="str">
        <f ca="1">IFERROR(INDEX(UNSPSCDes,MATCH(INDIRECT(ADDRESS(ROW(),COLUMN()-1,4)),UNSPSCCode,0)),IF(INDIRECT(ADDRESS(ROW(),COLUMN()-1,4))="53101702","Sweaters para hombre",""))</f>
        <v>Sweaters para hombre</v>
      </c>
      <c r="C325" s="30" t="str">
        <f>IFERROR(VLOOKUP("UD",'[1]Informacion '!P:Q,2,FALSE),"")</f>
        <v>Unidad</v>
      </c>
      <c r="D325" s="28">
        <v>500</v>
      </c>
      <c r="E325" s="31">
        <v>600</v>
      </c>
      <c r="F325" s="32">
        <f t="shared" ca="1" si="3"/>
        <v>300000</v>
      </c>
    </row>
    <row r="326" spans="1:6" x14ac:dyDescent="0.3">
      <c r="A326" s="28" t="s">
        <v>132</v>
      </c>
      <c r="B326" s="29" t="str">
        <f ca="1">IFERROR(INDEX(UNSPSCDes,MATCH(INDIRECT(ADDRESS(ROW(),COLUMN()-1,4)),UNSPSCCode,0)),IF(INDIRECT(ADDRESS(ROW(),COLUMN()-1,4))="53101704","Sweaters para mujer",""))</f>
        <v>Sweaters para mujer</v>
      </c>
      <c r="C326" s="30" t="str">
        <f>IFERROR(VLOOKUP("UD",'[1]Informacion '!P:Q,2,FALSE),"")</f>
        <v>Unidad</v>
      </c>
      <c r="D326" s="28">
        <v>300</v>
      </c>
      <c r="E326" s="31">
        <v>600</v>
      </c>
      <c r="F326" s="32">
        <f t="shared" ca="1" si="3"/>
        <v>180000</v>
      </c>
    </row>
    <row r="327" spans="1:6" x14ac:dyDescent="0.3">
      <c r="A327" s="28" t="s">
        <v>133</v>
      </c>
      <c r="B327" s="29" t="str">
        <f ca="1">IFERROR(INDEX(UNSPSCDes,MATCH(INDIRECT(ADDRESS(ROW(),COLUMN()-1,4)),UNSPSCCode,0)),IF(INDIRECT(ADDRESS(ROW(),COLUMN()-1,4))="53101602","Camisas para hombre",""))</f>
        <v>Camisas para hombre</v>
      </c>
      <c r="C327" s="30" t="str">
        <f>IFERROR(VLOOKUP("UD",'[1]Informacion '!P:Q,2,FALSE),"")</f>
        <v>Unidad</v>
      </c>
      <c r="D327" s="28">
        <v>300</v>
      </c>
      <c r="E327" s="31">
        <v>2800</v>
      </c>
      <c r="F327" s="32">
        <f t="shared" ca="1" si="3"/>
        <v>840000</v>
      </c>
    </row>
    <row r="328" spans="1:6" x14ac:dyDescent="0.3">
      <c r="A328" s="28" t="s">
        <v>134</v>
      </c>
      <c r="B328" s="29" t="str">
        <f ca="1">IFERROR(INDEX(UNSPSCDes,MATCH(INDIRECT(ADDRESS(ROW(),COLUMN()-1,4)),UNSPSCCode,0)),IF(INDIRECT(ADDRESS(ROW(),COLUMN()-1,4))="53101604","Camisas o blusas para mujer",""))</f>
        <v>Camisas o blusas para mujer</v>
      </c>
      <c r="C328" s="30" t="str">
        <f>IFERROR(VLOOKUP("UD",'[1]Informacion '!P:Q,2,FALSE),"")</f>
        <v>Unidad</v>
      </c>
      <c r="D328" s="28">
        <v>100</v>
      </c>
      <c r="E328" s="31">
        <v>2800</v>
      </c>
      <c r="F328" s="32">
        <f t="shared" ca="1" si="3"/>
        <v>280000</v>
      </c>
    </row>
    <row r="329" spans="1:6" x14ac:dyDescent="0.3">
      <c r="A329" s="28" t="s">
        <v>135</v>
      </c>
      <c r="B329" s="29" t="str">
        <f ca="1">IFERROR(INDEX(UNSPSCDes,MATCH(INDIRECT(ADDRESS(ROW(),COLUMN()-1,4)),UNSPSCCode,0)),IF(INDIRECT(ADDRESS(ROW(),COLUMN()-1,4))="53101502","Pantalones largos o cortos o pantalonetas para hombre",""))</f>
        <v>Pantalones largos o cortos o pantalonetas para hombre</v>
      </c>
      <c r="C329" s="30" t="str">
        <f>IFERROR(VLOOKUP("UD",'[1]Informacion '!P:Q,2,FALSE),"")</f>
        <v>Unidad</v>
      </c>
      <c r="D329" s="28">
        <v>120</v>
      </c>
      <c r="E329" s="31">
        <v>1600</v>
      </c>
      <c r="F329" s="32">
        <f t="shared" ca="1" si="3"/>
        <v>192000</v>
      </c>
    </row>
    <row r="330" spans="1:6" x14ac:dyDescent="0.3">
      <c r="A330" s="28" t="s">
        <v>136</v>
      </c>
      <c r="B330" s="29" t="str">
        <f ca="1">IFERROR(INDEX(UNSPSCDes,MATCH(INDIRECT(ADDRESS(ROW(),COLUMN()-1,4)),UNSPSCCode,0)),IF(INDIRECT(ADDRESS(ROW(),COLUMN()-1,4))="53102516","Gorras",""))</f>
        <v>Gorras</v>
      </c>
      <c r="C330" s="30" t="str">
        <f>IFERROR(VLOOKUP("UD",'[1]Informacion '!P:Q,2,FALSE),"")</f>
        <v>Unidad</v>
      </c>
      <c r="D330" s="28">
        <v>100</v>
      </c>
      <c r="E330" s="31">
        <v>300</v>
      </c>
      <c r="F330" s="32">
        <f t="shared" ca="1" si="3"/>
        <v>30000</v>
      </c>
    </row>
    <row r="331" spans="1:6" x14ac:dyDescent="0.3">
      <c r="A331" s="19"/>
      <c r="B331" s="19"/>
      <c r="C331" s="19"/>
      <c r="D331" s="19"/>
      <c r="E331" s="33" t="s">
        <v>48</v>
      </c>
      <c r="F331" s="34">
        <f ca="1">SUM(Table28[MONTO TOTAL ESTIMADO])</f>
        <v>2497000</v>
      </c>
    </row>
    <row r="332" spans="1:6" ht="15" thickBot="1" x14ac:dyDescent="0.35">
      <c r="A332" s="19"/>
      <c r="B332" s="19"/>
      <c r="C332" s="19"/>
      <c r="D332" s="19"/>
      <c r="E332" s="19"/>
      <c r="F332" s="19"/>
    </row>
    <row r="333" spans="1:6" ht="21" thickBot="1" x14ac:dyDescent="0.35">
      <c r="A333" s="20" t="s">
        <v>19</v>
      </c>
      <c r="B333" s="20" t="s">
        <v>20</v>
      </c>
      <c r="C333" s="20" t="s">
        <v>21</v>
      </c>
      <c r="D333" s="20" t="s">
        <v>22</v>
      </c>
      <c r="E333" s="20" t="s">
        <v>23</v>
      </c>
      <c r="F333" s="20" t="s">
        <v>24</v>
      </c>
    </row>
    <row r="334" spans="1:6" ht="15" thickBot="1" x14ac:dyDescent="0.35">
      <c r="A334" s="21" t="s">
        <v>137</v>
      </c>
      <c r="B334" s="21" t="s">
        <v>138</v>
      </c>
      <c r="C334" s="21" t="s">
        <v>60</v>
      </c>
      <c r="D334" s="21" t="s">
        <v>28</v>
      </c>
      <c r="E334" s="21" t="s">
        <v>54</v>
      </c>
      <c r="F334" s="21" t="s">
        <v>18</v>
      </c>
    </row>
    <row r="335" spans="1:6" ht="15" thickBot="1" x14ac:dyDescent="0.35">
      <c r="A335" s="41" t="s">
        <v>30</v>
      </c>
      <c r="B335" s="22" t="s">
        <v>31</v>
      </c>
      <c r="C335" s="23">
        <v>44972</v>
      </c>
      <c r="D335" s="41" t="s">
        <v>32</v>
      </c>
      <c r="E335" s="24" t="s">
        <v>33</v>
      </c>
      <c r="F335" s="25" t="s">
        <v>34</v>
      </c>
    </row>
    <row r="336" spans="1:6" ht="15" thickBot="1" x14ac:dyDescent="0.35">
      <c r="A336" s="42"/>
      <c r="B336" s="22" t="s">
        <v>35</v>
      </c>
      <c r="C336" s="26">
        <f>IF(C335="","",IF(AND(MONTH(C335)&gt;=1,MONTH(C335)&lt;=3),1,IF(AND(MONTH(C335)&gt;=4,MONTH(C335)&lt;=6),2,IF(AND(MONTH(C335)&gt;=7,MONTH(C335)&lt;=9),3,4))))</f>
        <v>1</v>
      </c>
      <c r="D336" s="42"/>
      <c r="E336" s="24" t="s">
        <v>36</v>
      </c>
      <c r="F336" s="25" t="s">
        <v>37</v>
      </c>
    </row>
    <row r="337" spans="1:6" ht="15" thickBot="1" x14ac:dyDescent="0.35">
      <c r="A337" s="42"/>
      <c r="B337" s="22" t="s">
        <v>38</v>
      </c>
      <c r="C337" s="23">
        <v>45000</v>
      </c>
      <c r="D337" s="42"/>
      <c r="E337" s="24" t="s">
        <v>39</v>
      </c>
      <c r="F337" s="25" t="s">
        <v>37</v>
      </c>
    </row>
    <row r="338" spans="1:6" ht="15" thickBot="1" x14ac:dyDescent="0.35">
      <c r="A338" s="42"/>
      <c r="B338" s="22" t="s">
        <v>35</v>
      </c>
      <c r="C338" s="26">
        <f>IF(C337="","",IF(AND(MONTH(C337)&gt;=1,MONTH(C337)&lt;=3),1,IF(AND(MONTH(C337)&gt;=4,MONTH(C337)&lt;=6),2,IF(AND(MONTH(C337)&gt;=7,MONTH(C337)&lt;=9),3,4))))</f>
        <v>1</v>
      </c>
      <c r="D338" s="42"/>
      <c r="E338" s="24" t="s">
        <v>40</v>
      </c>
      <c r="F338" s="25"/>
    </row>
    <row r="339" spans="1:6" ht="15" thickBot="1" x14ac:dyDescent="0.35">
      <c r="A339" s="19"/>
      <c r="B339" s="19"/>
      <c r="C339" s="19"/>
      <c r="D339" s="19"/>
      <c r="E339" s="19"/>
      <c r="F339" s="19"/>
    </row>
    <row r="340" spans="1:6" ht="15" thickBot="1" x14ac:dyDescent="0.35">
      <c r="A340" s="27" t="s">
        <v>41</v>
      </c>
      <c r="B340" s="27" t="s">
        <v>42</v>
      </c>
      <c r="C340" s="27" t="s">
        <v>43</v>
      </c>
      <c r="D340" s="27" t="s">
        <v>44</v>
      </c>
      <c r="E340" s="27" t="s">
        <v>45</v>
      </c>
      <c r="F340" s="27" t="s">
        <v>46</v>
      </c>
    </row>
    <row r="341" spans="1:6" x14ac:dyDescent="0.3">
      <c r="A341" s="28" t="s">
        <v>139</v>
      </c>
      <c r="B341" s="29" t="str">
        <f ca="1">IFERROR(INDEX(UNSPSCDes,MATCH(INDIRECT(ADDRESS(ROW(),COLUMN()-1,4)),UNSPSCCode,0)),IF(INDIRECT(ADDRESS(ROW(),COLUMN()-1,4))="14111507","Papel para impresora o fotocopiadora",""))</f>
        <v>Papel para impresora o fotocopiadora</v>
      </c>
      <c r="C341" s="30" t="str">
        <f>IFERROR(VLOOKUP("RESMA",'[1]Informacion '!P:Q,2,FALSE),"")</f>
        <v>Resma</v>
      </c>
      <c r="D341" s="28">
        <v>1450</v>
      </c>
      <c r="E341" s="31">
        <v>450</v>
      </c>
      <c r="F341" s="32">
        <f t="shared" ref="F341:F347" ca="1" si="4">INDIRECT(ADDRESS(ROW(),COLUMN()-2,4))*INDIRECT(ADDRESS(ROW(),COLUMN()-1,4))</f>
        <v>652500</v>
      </c>
    </row>
    <row r="342" spans="1:6" x14ac:dyDescent="0.3">
      <c r="A342" s="28" t="s">
        <v>140</v>
      </c>
      <c r="B342" s="29" t="str">
        <f ca="1">IFERROR(INDEX(UNSPSCDes,MATCH(INDIRECT(ADDRESS(ROW(),COLUMN()-1,4)),UNSPSCCode,0)),IF(INDIRECT(ADDRESS(ROW(),COLUMN()-1,4))="14111525","Papel multipropósito",""))</f>
        <v>Papel multipropósito</v>
      </c>
      <c r="C342" s="30" t="str">
        <f>IFERROR(VLOOKUP("RESMA",'[1]Informacion '!P:Q,2,FALSE),"")</f>
        <v>Resma</v>
      </c>
      <c r="D342" s="28">
        <v>1300</v>
      </c>
      <c r="E342" s="31">
        <v>650</v>
      </c>
      <c r="F342" s="32">
        <f t="shared" ca="1" si="4"/>
        <v>845000</v>
      </c>
    </row>
    <row r="343" spans="1:6" x14ac:dyDescent="0.3">
      <c r="A343" s="28" t="s">
        <v>141</v>
      </c>
      <c r="B343" s="29" t="str">
        <f ca="1">IFERROR(INDEX(UNSPSCDes,MATCH(INDIRECT(ADDRESS(ROW(),COLUMN()-1,4)),UNSPSCCode,0)),IF(INDIRECT(ADDRESS(ROW(),COLUMN()-1,4))="44121503","Sobres",""))</f>
        <v>Sobres</v>
      </c>
      <c r="C343" s="30" t="str">
        <f>IFERROR(VLOOKUP("CAJ",'[1]Informacion '!P:Q,2,FALSE),"")</f>
        <v>Caja</v>
      </c>
      <c r="D343" s="28">
        <v>1</v>
      </c>
      <c r="E343" s="31">
        <v>1990</v>
      </c>
      <c r="F343" s="32">
        <f t="shared" ca="1" si="4"/>
        <v>1990</v>
      </c>
    </row>
    <row r="344" spans="1:6" x14ac:dyDescent="0.3">
      <c r="A344" s="28" t="s">
        <v>142</v>
      </c>
      <c r="B344" s="29" t="str">
        <f ca="1">IFERROR(INDEX(UNSPSCDes,MATCH(INDIRECT(ADDRESS(ROW(),COLUMN()-1,4)),UNSPSCCode,0)),IF(INDIRECT(ADDRESS(ROW(),COLUMN()-1,4))="44121504","Sobres de ventana",""))</f>
        <v>Sobres de ventana</v>
      </c>
      <c r="C344" s="30" t="str">
        <f>IFERROR(VLOOKUP("CAJ",'[1]Informacion '!P:Q,2,FALSE),"")</f>
        <v>Caja</v>
      </c>
      <c r="D344" s="28">
        <v>2</v>
      </c>
      <c r="E344" s="31">
        <v>2330</v>
      </c>
      <c r="F344" s="32">
        <f t="shared" ca="1" si="4"/>
        <v>4660</v>
      </c>
    </row>
    <row r="345" spans="1:6" x14ac:dyDescent="0.3">
      <c r="A345" s="28" t="s">
        <v>143</v>
      </c>
      <c r="B345" s="29" t="str">
        <f ca="1">IFERROR(INDEX(UNSPSCDes,MATCH(INDIRECT(ADDRESS(ROW(),COLUMN()-1,4)),UNSPSCCode,0)),IF(INDIRECT(ADDRESS(ROW(),COLUMN()-1,4))="44121505","Sobres especiales",""))</f>
        <v>Sobres especiales</v>
      </c>
      <c r="C345" s="30" t="str">
        <f>IFERROR(VLOOKUP("PAQ",'[1]Informacion '!P:Q,2,FALSE),"")</f>
        <v>Paquete</v>
      </c>
      <c r="D345" s="28">
        <v>100</v>
      </c>
      <c r="E345" s="31">
        <v>59</v>
      </c>
      <c r="F345" s="32">
        <f t="shared" ca="1" si="4"/>
        <v>5900</v>
      </c>
    </row>
    <row r="346" spans="1:6" x14ac:dyDescent="0.3">
      <c r="A346" s="28" t="s">
        <v>144</v>
      </c>
      <c r="B346" s="29" t="str">
        <f ca="1">IFERROR(INDEX(UNSPSCDes,MATCH(INDIRECT(ADDRESS(ROW(),COLUMN()-1,4)),UNSPSCCode,0)),IF(INDIRECT(ADDRESS(ROW(),COLUMN()-1,4))="44121506","Sobres estándar",""))</f>
        <v>Sobres estándar</v>
      </c>
      <c r="C346" s="30" t="str">
        <f>IFERROR(VLOOKUP("CAJ",'[1]Informacion '!P:Q,2,FALSE),"")</f>
        <v>Caja</v>
      </c>
      <c r="D346" s="28">
        <v>1</v>
      </c>
      <c r="E346" s="31">
        <v>1990</v>
      </c>
      <c r="F346" s="32">
        <f t="shared" ca="1" si="4"/>
        <v>1990</v>
      </c>
    </row>
    <row r="347" spans="1:6" x14ac:dyDescent="0.3">
      <c r="A347" s="28" t="s">
        <v>145</v>
      </c>
      <c r="B347" s="29" t="str">
        <f ca="1">IFERROR(INDEX(UNSPSCDes,MATCH(INDIRECT(ADDRESS(ROW(),COLUMN()-1,4)),UNSPSCCode,0)),IF(INDIRECT(ADDRESS(ROW(),COLUMN()-1,4))="55121606","Etiquetas auto adhesivas",""))</f>
        <v>Etiquetas auto adhesivas</v>
      </c>
      <c r="C347" s="30" t="str">
        <f>IFERROR(VLOOKUP("CAJ",'[1]Informacion '!P:Q,2,FALSE),"")</f>
        <v>Caja</v>
      </c>
      <c r="D347" s="28">
        <v>20</v>
      </c>
      <c r="E347" s="31">
        <v>440</v>
      </c>
      <c r="F347" s="32">
        <f t="shared" ca="1" si="4"/>
        <v>8800</v>
      </c>
    </row>
    <row r="348" spans="1:6" x14ac:dyDescent="0.3">
      <c r="A348" s="19"/>
      <c r="B348" s="19"/>
      <c r="C348" s="19"/>
      <c r="D348" s="19"/>
      <c r="E348" s="33" t="s">
        <v>48</v>
      </c>
      <c r="F348" s="34">
        <f ca="1">SUM(Table29[MONTO TOTAL ESTIMADO])</f>
        <v>1520840</v>
      </c>
    </row>
    <row r="349" spans="1:6" ht="15" thickBot="1" x14ac:dyDescent="0.35">
      <c r="A349" s="19"/>
      <c r="B349" s="19"/>
      <c r="C349" s="19"/>
      <c r="D349" s="19"/>
      <c r="E349" s="19"/>
      <c r="F349" s="19"/>
    </row>
    <row r="350" spans="1:6" ht="21" thickBot="1" x14ac:dyDescent="0.35">
      <c r="A350" s="20" t="s">
        <v>19</v>
      </c>
      <c r="B350" s="20" t="s">
        <v>20</v>
      </c>
      <c r="C350" s="20" t="s">
        <v>21</v>
      </c>
      <c r="D350" s="20" t="s">
        <v>22</v>
      </c>
      <c r="E350" s="20" t="s">
        <v>23</v>
      </c>
      <c r="F350" s="20" t="s">
        <v>24</v>
      </c>
    </row>
    <row r="351" spans="1:6" ht="15" thickBot="1" x14ac:dyDescent="0.35">
      <c r="A351" s="21" t="s">
        <v>146</v>
      </c>
      <c r="B351" s="21" t="s">
        <v>147</v>
      </c>
      <c r="C351" s="21" t="s">
        <v>60</v>
      </c>
      <c r="D351" s="21" t="s">
        <v>28</v>
      </c>
      <c r="E351" s="21" t="s">
        <v>54</v>
      </c>
      <c r="F351" s="21" t="s">
        <v>18</v>
      </c>
    </row>
    <row r="352" spans="1:6" ht="15" thickBot="1" x14ac:dyDescent="0.35">
      <c r="A352" s="41" t="s">
        <v>30</v>
      </c>
      <c r="B352" s="22" t="s">
        <v>31</v>
      </c>
      <c r="C352" s="23">
        <v>45031</v>
      </c>
      <c r="D352" s="41" t="s">
        <v>32</v>
      </c>
      <c r="E352" s="24" t="s">
        <v>33</v>
      </c>
      <c r="F352" s="25" t="s">
        <v>34</v>
      </c>
    </row>
    <row r="353" spans="1:6" ht="15" thickBot="1" x14ac:dyDescent="0.35">
      <c r="A353" s="42"/>
      <c r="B353" s="22" t="s">
        <v>35</v>
      </c>
      <c r="C353" s="26">
        <f>IF(C352="","",IF(AND(MONTH(C352)&gt;=1,MONTH(C352)&lt;=3),1,IF(AND(MONTH(C352)&gt;=4,MONTH(C352)&lt;=6),2,IF(AND(MONTH(C352)&gt;=7,MONTH(C352)&lt;=9),3,4))))</f>
        <v>2</v>
      </c>
      <c r="D353" s="42"/>
      <c r="E353" s="24" t="s">
        <v>36</v>
      </c>
      <c r="F353" s="25" t="s">
        <v>37</v>
      </c>
    </row>
    <row r="354" spans="1:6" ht="15" thickBot="1" x14ac:dyDescent="0.35">
      <c r="A354" s="42"/>
      <c r="B354" s="22" t="s">
        <v>38</v>
      </c>
      <c r="C354" s="23">
        <v>45061</v>
      </c>
      <c r="D354" s="42"/>
      <c r="E354" s="24" t="s">
        <v>39</v>
      </c>
      <c r="F354" s="25" t="s">
        <v>37</v>
      </c>
    </row>
    <row r="355" spans="1:6" ht="15" thickBot="1" x14ac:dyDescent="0.35">
      <c r="A355" s="42"/>
      <c r="B355" s="22" t="s">
        <v>35</v>
      </c>
      <c r="C355" s="26">
        <f>IF(C354="","",IF(AND(MONTH(C354)&gt;=1,MONTH(C354)&lt;=3),1,IF(AND(MONTH(C354)&gt;=4,MONTH(C354)&lt;=6),2,IF(AND(MONTH(C354)&gt;=7,MONTH(C354)&lt;=9),3,4))))</f>
        <v>2</v>
      </c>
      <c r="D355" s="42"/>
      <c r="E355" s="24" t="s">
        <v>40</v>
      </c>
      <c r="F355" s="25"/>
    </row>
    <row r="356" spans="1:6" ht="15" thickBot="1" x14ac:dyDescent="0.35">
      <c r="A356" s="19"/>
      <c r="B356" s="19"/>
      <c r="C356" s="19"/>
      <c r="D356" s="19"/>
      <c r="E356" s="19"/>
      <c r="F356" s="19"/>
    </row>
    <row r="357" spans="1:6" ht="15" thickBot="1" x14ac:dyDescent="0.35">
      <c r="A357" s="27" t="s">
        <v>41</v>
      </c>
      <c r="B357" s="27" t="s">
        <v>42</v>
      </c>
      <c r="C357" s="27" t="s">
        <v>43</v>
      </c>
      <c r="D357" s="27" t="s">
        <v>44</v>
      </c>
      <c r="E357" s="27" t="s">
        <v>45</v>
      </c>
      <c r="F357" s="27" t="s">
        <v>46</v>
      </c>
    </row>
    <row r="358" spans="1:6" x14ac:dyDescent="0.3">
      <c r="A358" s="28" t="s">
        <v>139</v>
      </c>
      <c r="B358" s="29" t="str">
        <f ca="1">IFERROR(INDEX(UNSPSCDes,MATCH(INDIRECT(ADDRESS(ROW(),COLUMN()-1,4)),UNSPSCCode,0)),IF(INDIRECT(ADDRESS(ROW(),COLUMN()-1,4))="14111507","Papel para impresora o fotocopiadora",""))</f>
        <v>Papel para impresora o fotocopiadora</v>
      </c>
      <c r="C358" s="30" t="str">
        <f>IFERROR(VLOOKUP("RESMA",'[1]Informacion '!P:Q,2,FALSE),"")</f>
        <v>Resma</v>
      </c>
      <c r="D358" s="28">
        <v>1500</v>
      </c>
      <c r="E358" s="31">
        <v>450</v>
      </c>
      <c r="F358" s="32">
        <f ca="1">INDIRECT(ADDRESS(ROW(),COLUMN()-2,4))*INDIRECT(ADDRESS(ROW(),COLUMN()-1,4))</f>
        <v>675000</v>
      </c>
    </row>
    <row r="359" spans="1:6" x14ac:dyDescent="0.3">
      <c r="A359" s="28" t="s">
        <v>140</v>
      </c>
      <c r="B359" s="29" t="str">
        <f ca="1">IFERROR(INDEX(UNSPSCDes,MATCH(INDIRECT(ADDRESS(ROW(),COLUMN()-1,4)),UNSPSCCode,0)),IF(INDIRECT(ADDRESS(ROW(),COLUMN()-1,4))="14111525","Papel multipropósito",""))</f>
        <v>Papel multipropósito</v>
      </c>
      <c r="C359" s="30" t="str">
        <f>IFERROR(VLOOKUP("RESMA",'[1]Informacion '!P:Q,2,FALSE),"")</f>
        <v>Resma</v>
      </c>
      <c r="D359" s="28">
        <v>1300</v>
      </c>
      <c r="E359" s="31">
        <v>650</v>
      </c>
      <c r="F359" s="32">
        <f ca="1">INDIRECT(ADDRESS(ROW(),COLUMN()-2,4))*INDIRECT(ADDRESS(ROW(),COLUMN()-1,4))</f>
        <v>845000</v>
      </c>
    </row>
    <row r="360" spans="1:6" x14ac:dyDescent="0.3">
      <c r="A360" s="28" t="s">
        <v>56</v>
      </c>
      <c r="B360" s="29" t="str">
        <f ca="1">IFERROR(INDEX(UNSPSCDes,MATCH(INDIRECT(ADDRESS(ROW(),COLUMN()-1,4)),UNSPSCCode,0)),IF(INDIRECT(ADDRESS(ROW(),COLUMN()-1,4))="44122011","Folders",""))</f>
        <v>Folders</v>
      </c>
      <c r="C360" s="30" t="str">
        <f>IFERROR(VLOOKUP("CAJ",'[1]Informacion '!P:Q,2,FALSE),"")</f>
        <v>Caja</v>
      </c>
      <c r="D360" s="28">
        <v>2000</v>
      </c>
      <c r="E360" s="31">
        <v>595</v>
      </c>
      <c r="F360" s="32">
        <f ca="1">INDIRECT(ADDRESS(ROW(),COLUMN()-2,4))*INDIRECT(ADDRESS(ROW(),COLUMN()-1,4))</f>
        <v>1190000</v>
      </c>
    </row>
    <row r="361" spans="1:6" x14ac:dyDescent="0.3">
      <c r="A361" s="28" t="s">
        <v>56</v>
      </c>
      <c r="B361" s="29" t="str">
        <f ca="1">IFERROR(INDEX(UNSPSCDes,MATCH(INDIRECT(ADDRESS(ROW(),COLUMN()-1,4)),UNSPSCCode,0)),IF(INDIRECT(ADDRESS(ROW(),COLUMN()-1,4))="44122011","Folders",""))</f>
        <v>Folders</v>
      </c>
      <c r="C361" s="30" t="str">
        <f>IFERROR(VLOOKUP("CAJ",'[1]Informacion '!P:Q,2,FALSE),"")</f>
        <v>Caja</v>
      </c>
      <c r="D361" s="28">
        <v>1000</v>
      </c>
      <c r="E361" s="31">
        <v>425</v>
      </c>
      <c r="F361" s="32">
        <f ca="1">INDIRECT(ADDRESS(ROW(),COLUMN()-2,4))*INDIRECT(ADDRESS(ROW(),COLUMN()-1,4))</f>
        <v>425000</v>
      </c>
    </row>
    <row r="362" spans="1:6" x14ac:dyDescent="0.3">
      <c r="A362" s="19"/>
      <c r="B362" s="19"/>
      <c r="C362" s="19"/>
      <c r="D362" s="19"/>
      <c r="E362" s="33" t="s">
        <v>48</v>
      </c>
      <c r="F362" s="34">
        <f ca="1">SUM(Table30[MONTO TOTAL ESTIMADO])</f>
        <v>3135000</v>
      </c>
    </row>
    <row r="363" spans="1:6" ht="15" thickBot="1" x14ac:dyDescent="0.35">
      <c r="A363" s="19"/>
      <c r="B363" s="19"/>
      <c r="C363" s="19"/>
      <c r="D363" s="19"/>
      <c r="E363" s="19"/>
      <c r="F363" s="19"/>
    </row>
    <row r="364" spans="1:6" ht="21" thickBot="1" x14ac:dyDescent="0.35">
      <c r="A364" s="20" t="s">
        <v>19</v>
      </c>
      <c r="B364" s="20" t="s">
        <v>20</v>
      </c>
      <c r="C364" s="20" t="s">
        <v>21</v>
      </c>
      <c r="D364" s="20" t="s">
        <v>22</v>
      </c>
      <c r="E364" s="20" t="s">
        <v>23</v>
      </c>
      <c r="F364" s="20" t="s">
        <v>24</v>
      </c>
    </row>
    <row r="365" spans="1:6" ht="15" thickBot="1" x14ac:dyDescent="0.35">
      <c r="A365" s="21" t="s">
        <v>137</v>
      </c>
      <c r="B365" s="21" t="s">
        <v>148</v>
      </c>
      <c r="C365" s="21" t="s">
        <v>60</v>
      </c>
      <c r="D365" s="21" t="s">
        <v>61</v>
      </c>
      <c r="E365" s="21" t="s">
        <v>54</v>
      </c>
      <c r="F365" s="21" t="s">
        <v>18</v>
      </c>
    </row>
    <row r="366" spans="1:6" ht="15" thickBot="1" x14ac:dyDescent="0.35">
      <c r="A366" s="41" t="s">
        <v>30</v>
      </c>
      <c r="B366" s="22" t="s">
        <v>31</v>
      </c>
      <c r="C366" s="23">
        <v>45122</v>
      </c>
      <c r="D366" s="41" t="s">
        <v>32</v>
      </c>
      <c r="E366" s="24" t="s">
        <v>33</v>
      </c>
      <c r="F366" s="25" t="s">
        <v>34</v>
      </c>
    </row>
    <row r="367" spans="1:6" ht="15" thickBot="1" x14ac:dyDescent="0.35">
      <c r="A367" s="42"/>
      <c r="B367" s="22" t="s">
        <v>35</v>
      </c>
      <c r="C367" s="26">
        <f>IF(C366="","",IF(AND(MONTH(C366)&gt;=1,MONTH(C366)&lt;=3),1,IF(AND(MONTH(C366)&gt;=4,MONTH(C366)&lt;=6),2,IF(AND(MONTH(C366)&gt;=7,MONTH(C366)&lt;=9),3,4))))</f>
        <v>3</v>
      </c>
      <c r="D367" s="42"/>
      <c r="E367" s="24" t="s">
        <v>36</v>
      </c>
      <c r="F367" s="25" t="s">
        <v>37</v>
      </c>
    </row>
    <row r="368" spans="1:6" ht="15" thickBot="1" x14ac:dyDescent="0.35">
      <c r="A368" s="42"/>
      <c r="B368" s="22" t="s">
        <v>38</v>
      </c>
      <c r="C368" s="23">
        <v>45153</v>
      </c>
      <c r="D368" s="42"/>
      <c r="E368" s="24" t="s">
        <v>39</v>
      </c>
      <c r="F368" s="25" t="s">
        <v>37</v>
      </c>
    </row>
    <row r="369" spans="1:6" ht="15" thickBot="1" x14ac:dyDescent="0.35">
      <c r="A369" s="42"/>
      <c r="B369" s="22" t="s">
        <v>35</v>
      </c>
      <c r="C369" s="26">
        <f>IF(C368="","",IF(AND(MONTH(C368)&gt;=1,MONTH(C368)&lt;=3),1,IF(AND(MONTH(C368)&gt;=4,MONTH(C368)&lt;=6),2,IF(AND(MONTH(C368)&gt;=7,MONTH(C368)&lt;=9),3,4))))</f>
        <v>3</v>
      </c>
      <c r="D369" s="42"/>
      <c r="E369" s="24" t="s">
        <v>40</v>
      </c>
      <c r="F369" s="25"/>
    </row>
    <row r="370" spans="1:6" ht="15" thickBot="1" x14ac:dyDescent="0.35">
      <c r="A370" s="19"/>
      <c r="B370" s="19"/>
      <c r="C370" s="19"/>
      <c r="D370" s="19"/>
      <c r="E370" s="19"/>
      <c r="F370" s="19"/>
    </row>
    <row r="371" spans="1:6" ht="15" thickBot="1" x14ac:dyDescent="0.35">
      <c r="A371" s="27" t="s">
        <v>41</v>
      </c>
      <c r="B371" s="27" t="s">
        <v>42</v>
      </c>
      <c r="C371" s="27" t="s">
        <v>43</v>
      </c>
      <c r="D371" s="27" t="s">
        <v>44</v>
      </c>
      <c r="E371" s="27" t="s">
        <v>45</v>
      </c>
      <c r="F371" s="27" t="s">
        <v>46</v>
      </c>
    </row>
    <row r="372" spans="1:6" x14ac:dyDescent="0.3">
      <c r="A372" s="28" t="s">
        <v>139</v>
      </c>
      <c r="B372" s="29" t="str">
        <f ca="1">IFERROR(INDEX(UNSPSCDes,MATCH(INDIRECT(ADDRESS(ROW(),COLUMN()-1,4)),UNSPSCCode,0)),IF(INDIRECT(ADDRESS(ROW(),COLUMN()-1,4))="14111507","Papel para impresora o fotocopiadora",""))</f>
        <v>Papel para impresora o fotocopiadora</v>
      </c>
      <c r="C372" s="30" t="str">
        <f>IFERROR(VLOOKUP("RESMA",'[1]Informacion '!P:Q,2,FALSE),"")</f>
        <v>Resma</v>
      </c>
      <c r="D372" s="28">
        <v>1300</v>
      </c>
      <c r="E372" s="31">
        <v>450</v>
      </c>
      <c r="F372" s="32">
        <f ca="1">INDIRECT(ADDRESS(ROW(),COLUMN()-2,4))*INDIRECT(ADDRESS(ROW(),COLUMN()-1,4))</f>
        <v>585000</v>
      </c>
    </row>
    <row r="373" spans="1:6" x14ac:dyDescent="0.3">
      <c r="A373" s="28" t="s">
        <v>140</v>
      </c>
      <c r="B373" s="29" t="str">
        <f ca="1">IFERROR(INDEX(UNSPSCDes,MATCH(INDIRECT(ADDRESS(ROW(),COLUMN()-1,4)),UNSPSCCode,0)),IF(INDIRECT(ADDRESS(ROW(),COLUMN()-1,4))="14111525","Papel multipropósito",""))</f>
        <v>Papel multipropósito</v>
      </c>
      <c r="C373" s="30" t="str">
        <f>IFERROR(VLOOKUP("RESMA",'[1]Informacion '!P:Q,2,FALSE),"")</f>
        <v>Resma</v>
      </c>
      <c r="D373" s="28">
        <v>1300</v>
      </c>
      <c r="E373" s="31">
        <v>650</v>
      </c>
      <c r="F373" s="32">
        <f ca="1">INDIRECT(ADDRESS(ROW(),COLUMN()-2,4))*INDIRECT(ADDRESS(ROW(),COLUMN()-1,4))</f>
        <v>845000</v>
      </c>
    </row>
    <row r="374" spans="1:6" x14ac:dyDescent="0.3">
      <c r="A374" s="28" t="s">
        <v>149</v>
      </c>
      <c r="B374" s="29" t="str">
        <f ca="1">IFERROR(INDEX(UNSPSCDes,MATCH(INDIRECT(ADDRESS(ROW(),COLUMN()-1,4)),UNSPSCCode,0)),IF(INDIRECT(ADDRESS(ROW(),COLUMN()-1,4))="14111510","Papel para plotter",""))</f>
        <v>Papel para plotter</v>
      </c>
      <c r="C374" s="30" t="str">
        <f>IFERROR(VLOOKUP("PAQ",'[1]Informacion '!P:Q,2,FALSE),"")</f>
        <v>Paquete</v>
      </c>
      <c r="D374" s="28">
        <v>50</v>
      </c>
      <c r="E374" s="31">
        <v>2800</v>
      </c>
      <c r="F374" s="32">
        <f ca="1">INDIRECT(ADDRESS(ROW(),COLUMN()-2,4))*INDIRECT(ADDRESS(ROW(),COLUMN()-1,4))</f>
        <v>140000</v>
      </c>
    </row>
    <row r="375" spans="1:6" x14ac:dyDescent="0.3">
      <c r="A375" s="28" t="s">
        <v>140</v>
      </c>
      <c r="B375" s="29" t="str">
        <f ca="1">IFERROR(INDEX(UNSPSCDes,MATCH(INDIRECT(ADDRESS(ROW(),COLUMN()-1,4)),UNSPSCCode,0)),IF(INDIRECT(ADDRESS(ROW(),COLUMN()-1,4))="14111525","Papel multipropósito",""))</f>
        <v>Papel multipropósito</v>
      </c>
      <c r="C375" s="30" t="str">
        <f>IFERROR(VLOOKUP("RESMA",'[1]Informacion '!P:Q,2,FALSE),"")</f>
        <v>Resma</v>
      </c>
      <c r="D375" s="28">
        <v>1000</v>
      </c>
      <c r="E375" s="31">
        <v>450</v>
      </c>
      <c r="F375" s="32">
        <f ca="1">INDIRECT(ADDRESS(ROW(),COLUMN()-2,4))*INDIRECT(ADDRESS(ROW(),COLUMN()-1,4))</f>
        <v>450000</v>
      </c>
    </row>
    <row r="376" spans="1:6" x14ac:dyDescent="0.3">
      <c r="A376" s="19"/>
      <c r="B376" s="19"/>
      <c r="C376" s="19"/>
      <c r="D376" s="19"/>
      <c r="E376" s="33" t="s">
        <v>48</v>
      </c>
      <c r="F376" s="34">
        <f ca="1">SUM(Table31[MONTO TOTAL ESTIMADO])</f>
        <v>2020000</v>
      </c>
    </row>
    <row r="377" spans="1:6" ht="15" thickBot="1" x14ac:dyDescent="0.35">
      <c r="A377" s="19"/>
      <c r="B377" s="19"/>
      <c r="C377" s="19"/>
      <c r="D377" s="19"/>
      <c r="E377" s="19"/>
      <c r="F377" s="19"/>
    </row>
    <row r="378" spans="1:6" ht="21" thickBot="1" x14ac:dyDescent="0.35">
      <c r="A378" s="20" t="s">
        <v>19</v>
      </c>
      <c r="B378" s="20" t="s">
        <v>20</v>
      </c>
      <c r="C378" s="20" t="s">
        <v>21</v>
      </c>
      <c r="D378" s="20" t="s">
        <v>22</v>
      </c>
      <c r="E378" s="20" t="s">
        <v>23</v>
      </c>
      <c r="F378" s="20" t="s">
        <v>24</v>
      </c>
    </row>
    <row r="379" spans="1:6" ht="15" thickBot="1" x14ac:dyDescent="0.35">
      <c r="A379" s="21" t="s">
        <v>150</v>
      </c>
      <c r="B379" s="21" t="s">
        <v>151</v>
      </c>
      <c r="C379" s="21" t="s">
        <v>60</v>
      </c>
      <c r="D379" s="21" t="s">
        <v>28</v>
      </c>
      <c r="E379" s="21" t="s">
        <v>54</v>
      </c>
      <c r="F379" s="21" t="s">
        <v>18</v>
      </c>
    </row>
    <row r="380" spans="1:6" ht="15" thickBot="1" x14ac:dyDescent="0.35">
      <c r="A380" s="41" t="s">
        <v>30</v>
      </c>
      <c r="B380" s="22" t="s">
        <v>31</v>
      </c>
      <c r="C380" s="23">
        <v>44972</v>
      </c>
      <c r="D380" s="41" t="s">
        <v>32</v>
      </c>
      <c r="E380" s="24" t="s">
        <v>33</v>
      </c>
      <c r="F380" s="25" t="s">
        <v>34</v>
      </c>
    </row>
    <row r="381" spans="1:6" ht="15" thickBot="1" x14ac:dyDescent="0.35">
      <c r="A381" s="42"/>
      <c r="B381" s="22" t="s">
        <v>35</v>
      </c>
      <c r="C381" s="26">
        <f>IF(C380="","",IF(AND(MONTH(C380)&gt;=1,MONTH(C380)&lt;=3),1,IF(AND(MONTH(C380)&gt;=4,MONTH(C380)&lt;=6),2,IF(AND(MONTH(C380)&gt;=7,MONTH(C380)&lt;=9),3,4))))</f>
        <v>1</v>
      </c>
      <c r="D381" s="42"/>
      <c r="E381" s="24" t="s">
        <v>36</v>
      </c>
      <c r="F381" s="25" t="s">
        <v>37</v>
      </c>
    </row>
    <row r="382" spans="1:6" ht="15" thickBot="1" x14ac:dyDescent="0.35">
      <c r="A382" s="42"/>
      <c r="B382" s="22" t="s">
        <v>38</v>
      </c>
      <c r="C382" s="23">
        <v>45000</v>
      </c>
      <c r="D382" s="42"/>
      <c r="E382" s="24" t="s">
        <v>39</v>
      </c>
      <c r="F382" s="25" t="s">
        <v>37</v>
      </c>
    </row>
    <row r="383" spans="1:6" ht="15" thickBot="1" x14ac:dyDescent="0.35">
      <c r="A383" s="42"/>
      <c r="B383" s="22" t="s">
        <v>35</v>
      </c>
      <c r="C383" s="26">
        <f>IF(C382="","",IF(AND(MONTH(C382)&gt;=1,MONTH(C382)&lt;=3),1,IF(AND(MONTH(C382)&gt;=4,MONTH(C382)&lt;=6),2,IF(AND(MONTH(C382)&gt;=7,MONTH(C382)&lt;=9),3,4))))</f>
        <v>1</v>
      </c>
      <c r="D383" s="42"/>
      <c r="E383" s="24" t="s">
        <v>40</v>
      </c>
      <c r="F383" s="25"/>
    </row>
    <row r="384" spans="1:6" ht="15" thickBot="1" x14ac:dyDescent="0.35">
      <c r="A384" s="19"/>
      <c r="B384" s="19"/>
      <c r="C384" s="19"/>
      <c r="D384" s="19"/>
      <c r="E384" s="19"/>
      <c r="F384" s="19"/>
    </row>
    <row r="385" spans="1:6" ht="15" thickBot="1" x14ac:dyDescent="0.35">
      <c r="A385" s="27" t="s">
        <v>41</v>
      </c>
      <c r="B385" s="27" t="s">
        <v>42</v>
      </c>
      <c r="C385" s="27" t="s">
        <v>43</v>
      </c>
      <c r="D385" s="27" t="s">
        <v>44</v>
      </c>
      <c r="E385" s="27" t="s">
        <v>45</v>
      </c>
      <c r="F385" s="27" t="s">
        <v>46</v>
      </c>
    </row>
    <row r="386" spans="1:6" x14ac:dyDescent="0.3">
      <c r="A386" s="28" t="s">
        <v>152</v>
      </c>
      <c r="B386" s="29" t="str">
        <f ca="1">IFERROR(INDEX(UNSPSCDes,MATCH(INDIRECT(ADDRESS(ROW(),COLUMN()-1,4)),UNSPSCCode,0)),IF(INDIRECT(ADDRESS(ROW(),COLUMN()-1,4))="14111514","Blocs o cuadernos de papel",""))</f>
        <v>Blocs o cuadernos de papel</v>
      </c>
      <c r="C386" s="30" t="str">
        <f>IFERROR(VLOOKUP("PAQ",'[1]Informacion '!P:Q,2,FALSE),"")</f>
        <v>Paquete</v>
      </c>
      <c r="D386" s="28">
        <v>150</v>
      </c>
      <c r="E386" s="31">
        <v>450</v>
      </c>
      <c r="F386" s="32">
        <f ca="1">INDIRECT(ADDRESS(ROW(),COLUMN()-2,4))*INDIRECT(ADDRESS(ROW(),COLUMN()-1,4))</f>
        <v>67500</v>
      </c>
    </row>
    <row r="387" spans="1:6" x14ac:dyDescent="0.3">
      <c r="A387" s="28" t="s">
        <v>152</v>
      </c>
      <c r="B387" s="29" t="str">
        <f ca="1">IFERROR(INDEX(UNSPSCDes,MATCH(INDIRECT(ADDRESS(ROW(),COLUMN()-1,4)),UNSPSCCode,0)),IF(INDIRECT(ADDRESS(ROW(),COLUMN()-1,4))="14111514","Blocs o cuadernos de papel",""))</f>
        <v>Blocs o cuadernos de papel</v>
      </c>
      <c r="C387" s="30" t="str">
        <f>IFERROR(VLOOKUP("PAQ",'[1]Informacion '!P:Q,2,FALSE),"")</f>
        <v>Paquete</v>
      </c>
      <c r="D387" s="28">
        <v>150</v>
      </c>
      <c r="E387" s="31">
        <v>450</v>
      </c>
      <c r="F387" s="32">
        <f ca="1">INDIRECT(ADDRESS(ROW(),COLUMN()-2,4))*INDIRECT(ADDRESS(ROW(),COLUMN()-1,4))</f>
        <v>67500</v>
      </c>
    </row>
    <row r="388" spans="1:6" x14ac:dyDescent="0.3">
      <c r="A388" s="28" t="s">
        <v>152</v>
      </c>
      <c r="B388" s="29" t="str">
        <f ca="1">IFERROR(INDEX(UNSPSCDes,MATCH(INDIRECT(ADDRESS(ROW(),COLUMN()-1,4)),UNSPSCCode,0)),IF(INDIRECT(ADDRESS(ROW(),COLUMN()-1,4))="14111514","Blocs o cuadernos de papel",""))</f>
        <v>Blocs o cuadernos de papel</v>
      </c>
      <c r="C388" s="30" t="str">
        <f>IFERROR(VLOOKUP("PAQ",'[1]Informacion '!P:Q,2,FALSE),"")</f>
        <v>Paquete</v>
      </c>
      <c r="D388" s="28">
        <v>150</v>
      </c>
      <c r="E388" s="31">
        <v>775</v>
      </c>
      <c r="F388" s="32">
        <f ca="1">INDIRECT(ADDRESS(ROW(),COLUMN()-2,4))*INDIRECT(ADDRESS(ROW(),COLUMN()-1,4))</f>
        <v>116250</v>
      </c>
    </row>
    <row r="389" spans="1:6" x14ac:dyDescent="0.3">
      <c r="A389" s="28" t="s">
        <v>152</v>
      </c>
      <c r="B389" s="29" t="str">
        <f ca="1">IFERROR(INDEX(UNSPSCDes,MATCH(INDIRECT(ADDRESS(ROW(),COLUMN()-1,4)),UNSPSCCode,0)),IF(INDIRECT(ADDRESS(ROW(),COLUMN()-1,4))="14111514","Blocs o cuadernos de papel",""))</f>
        <v>Blocs o cuadernos de papel</v>
      </c>
      <c r="C389" s="30" t="str">
        <f>IFERROR(VLOOKUP("PAQ",'[1]Informacion '!P:Q,2,FALSE),"")</f>
        <v>Paquete</v>
      </c>
      <c r="D389" s="28">
        <v>150</v>
      </c>
      <c r="E389" s="31">
        <v>775</v>
      </c>
      <c r="F389" s="32">
        <f ca="1">INDIRECT(ADDRESS(ROW(),COLUMN()-2,4))*INDIRECT(ADDRESS(ROW(),COLUMN()-1,4))</f>
        <v>116250</v>
      </c>
    </row>
    <row r="390" spans="1:6" x14ac:dyDescent="0.3">
      <c r="A390" s="28" t="s">
        <v>152</v>
      </c>
      <c r="B390" s="29" t="str">
        <f ca="1">IFERROR(INDEX(UNSPSCDes,MATCH(INDIRECT(ADDRESS(ROW(),COLUMN()-1,4)),UNSPSCCode,0)),IF(INDIRECT(ADDRESS(ROW(),COLUMN()-1,4))="14111514","Blocs o cuadernos de papel",""))</f>
        <v>Blocs o cuadernos de papel</v>
      </c>
      <c r="C390" s="30" t="str">
        <f>IFERROR(VLOOKUP("UD",'[1]Informacion '!P:Q,2,FALSE),"")</f>
        <v>Unidad</v>
      </c>
      <c r="D390" s="28">
        <v>25</v>
      </c>
      <c r="E390" s="31">
        <v>500</v>
      </c>
      <c r="F390" s="32">
        <f ca="1">INDIRECT(ADDRESS(ROW(),COLUMN()-2,4))*INDIRECT(ADDRESS(ROW(),COLUMN()-1,4))</f>
        <v>12500</v>
      </c>
    </row>
    <row r="391" spans="1:6" x14ac:dyDescent="0.3">
      <c r="A391" s="19"/>
      <c r="B391" s="19"/>
      <c r="C391" s="19"/>
      <c r="D391" s="19"/>
      <c r="E391" s="33" t="s">
        <v>48</v>
      </c>
      <c r="F391" s="34">
        <f ca="1">SUM(Table32[MONTO TOTAL ESTIMADO])</f>
        <v>380000</v>
      </c>
    </row>
    <row r="392" spans="1:6" ht="15" thickBot="1" x14ac:dyDescent="0.35">
      <c r="A392" s="19"/>
      <c r="B392" s="19"/>
      <c r="C392" s="19"/>
      <c r="D392" s="19"/>
      <c r="E392" s="19"/>
      <c r="F392" s="19"/>
    </row>
    <row r="393" spans="1:6" ht="21" thickBot="1" x14ac:dyDescent="0.35">
      <c r="A393" s="20" t="s">
        <v>19</v>
      </c>
      <c r="B393" s="20" t="s">
        <v>20</v>
      </c>
      <c r="C393" s="20" t="s">
        <v>21</v>
      </c>
      <c r="D393" s="20" t="s">
        <v>22</v>
      </c>
      <c r="E393" s="20" t="s">
        <v>23</v>
      </c>
      <c r="F393" s="20" t="s">
        <v>24</v>
      </c>
    </row>
    <row r="394" spans="1:6" ht="15" thickBot="1" x14ac:dyDescent="0.35">
      <c r="A394" s="21" t="s">
        <v>153</v>
      </c>
      <c r="B394" s="21" t="s">
        <v>154</v>
      </c>
      <c r="C394" s="21" t="s">
        <v>60</v>
      </c>
      <c r="D394" s="21" t="s">
        <v>28</v>
      </c>
      <c r="E394" s="21" t="s">
        <v>54</v>
      </c>
      <c r="F394" s="21" t="s">
        <v>18</v>
      </c>
    </row>
    <row r="395" spans="1:6" ht="15" thickBot="1" x14ac:dyDescent="0.35">
      <c r="A395" s="41" t="s">
        <v>30</v>
      </c>
      <c r="B395" s="22" t="s">
        <v>31</v>
      </c>
      <c r="C395" s="23">
        <v>45092</v>
      </c>
      <c r="D395" s="41" t="s">
        <v>32</v>
      </c>
      <c r="E395" s="24" t="s">
        <v>33</v>
      </c>
      <c r="F395" s="25" t="s">
        <v>34</v>
      </c>
    </row>
    <row r="396" spans="1:6" ht="15" thickBot="1" x14ac:dyDescent="0.35">
      <c r="A396" s="42"/>
      <c r="B396" s="22" t="s">
        <v>35</v>
      </c>
      <c r="C396" s="26">
        <f>IF(C395="","",IF(AND(MONTH(C395)&gt;=1,MONTH(C395)&lt;=3),1,IF(AND(MONTH(C395)&gt;=4,MONTH(C395)&lt;=6),2,IF(AND(MONTH(C395)&gt;=7,MONTH(C395)&lt;=9),3,4))))</f>
        <v>2</v>
      </c>
      <c r="D396" s="42"/>
      <c r="E396" s="24" t="s">
        <v>36</v>
      </c>
      <c r="F396" s="25" t="s">
        <v>37</v>
      </c>
    </row>
    <row r="397" spans="1:6" ht="15" thickBot="1" x14ac:dyDescent="0.35">
      <c r="A397" s="42"/>
      <c r="B397" s="22" t="s">
        <v>38</v>
      </c>
      <c r="C397" s="23">
        <v>45122</v>
      </c>
      <c r="D397" s="42"/>
      <c r="E397" s="24" t="s">
        <v>39</v>
      </c>
      <c r="F397" s="25" t="s">
        <v>37</v>
      </c>
    </row>
    <row r="398" spans="1:6" ht="15" thickBot="1" x14ac:dyDescent="0.35">
      <c r="A398" s="42"/>
      <c r="B398" s="22" t="s">
        <v>35</v>
      </c>
      <c r="C398" s="26">
        <f>IF(C397="","",IF(AND(MONTH(C397)&gt;=1,MONTH(C397)&lt;=3),1,IF(AND(MONTH(C397)&gt;=4,MONTH(C397)&lt;=6),2,IF(AND(MONTH(C397)&gt;=7,MONTH(C397)&lt;=9),3,4))))</f>
        <v>3</v>
      </c>
      <c r="D398" s="42"/>
      <c r="E398" s="24" t="s">
        <v>40</v>
      </c>
      <c r="F398" s="25"/>
    </row>
    <row r="399" spans="1:6" ht="15" thickBot="1" x14ac:dyDescent="0.35">
      <c r="A399" s="19"/>
      <c r="B399" s="19"/>
      <c r="C399" s="19"/>
      <c r="D399" s="19"/>
      <c r="E399" s="19"/>
      <c r="F399" s="19"/>
    </row>
    <row r="400" spans="1:6" ht="15" thickBot="1" x14ac:dyDescent="0.35">
      <c r="A400" s="27" t="s">
        <v>41</v>
      </c>
      <c r="B400" s="27" t="s">
        <v>42</v>
      </c>
      <c r="C400" s="27" t="s">
        <v>43</v>
      </c>
      <c r="D400" s="27" t="s">
        <v>44</v>
      </c>
      <c r="E400" s="27" t="s">
        <v>45</v>
      </c>
      <c r="F400" s="27" t="s">
        <v>46</v>
      </c>
    </row>
    <row r="401" spans="1:6" x14ac:dyDescent="0.3">
      <c r="A401" s="28" t="s">
        <v>155</v>
      </c>
      <c r="B401" s="29" t="str">
        <f ca="1">IFERROR(INDEX(UNSPSCDes,MATCH(INDIRECT(ADDRESS(ROW(),COLUMN()-1,4)),UNSPSCCode,0)),IF(INDIRECT(ADDRESS(ROW(),COLUMN()-1,4))="25172504","Neumáticos para automoviles o camiones ligeros",""))</f>
        <v>Neumáticos para automoviles o camiones ligeros</v>
      </c>
      <c r="C401" s="30" t="str">
        <f>IFERROR(VLOOKUP("UD",'[1]Informacion '!P:Q,2,FALSE),"")</f>
        <v>Unidad</v>
      </c>
      <c r="D401" s="28">
        <v>38</v>
      </c>
      <c r="E401" s="31">
        <v>14750</v>
      </c>
      <c r="F401" s="32">
        <f ca="1">INDIRECT(ADDRESS(ROW(),COLUMN()-2,4))*INDIRECT(ADDRESS(ROW(),COLUMN()-1,4))</f>
        <v>560500</v>
      </c>
    </row>
    <row r="402" spans="1:6" x14ac:dyDescent="0.3">
      <c r="A402" s="19"/>
      <c r="B402" s="19"/>
      <c r="C402" s="19"/>
      <c r="D402" s="19"/>
      <c r="E402" s="33" t="s">
        <v>48</v>
      </c>
      <c r="F402" s="34">
        <f ca="1">SUM(Table33[MONTO TOTAL ESTIMADO])</f>
        <v>560500</v>
      </c>
    </row>
    <row r="403" spans="1:6" ht="15" thickBot="1" x14ac:dyDescent="0.35">
      <c r="A403" s="19"/>
      <c r="B403" s="19"/>
      <c r="C403" s="19"/>
      <c r="D403" s="19"/>
      <c r="E403" s="19"/>
      <c r="F403" s="19"/>
    </row>
    <row r="404" spans="1:6" ht="21" thickBot="1" x14ac:dyDescent="0.35">
      <c r="A404" s="20" t="s">
        <v>19</v>
      </c>
      <c r="B404" s="20" t="s">
        <v>20</v>
      </c>
      <c r="C404" s="20" t="s">
        <v>21</v>
      </c>
      <c r="D404" s="20" t="s">
        <v>22</v>
      </c>
      <c r="E404" s="20" t="s">
        <v>23</v>
      </c>
      <c r="F404" s="20" t="s">
        <v>24</v>
      </c>
    </row>
    <row r="405" spans="1:6" ht="15" thickBot="1" x14ac:dyDescent="0.35">
      <c r="A405" s="21" t="s">
        <v>156</v>
      </c>
      <c r="B405" s="21" t="s">
        <v>157</v>
      </c>
      <c r="C405" s="21" t="s">
        <v>60</v>
      </c>
      <c r="D405" s="21" t="s">
        <v>94</v>
      </c>
      <c r="E405" s="21" t="s">
        <v>29</v>
      </c>
      <c r="F405" s="21" t="s">
        <v>18</v>
      </c>
    </row>
    <row r="406" spans="1:6" ht="15" thickBot="1" x14ac:dyDescent="0.35">
      <c r="A406" s="41" t="s">
        <v>30</v>
      </c>
      <c r="B406" s="22" t="s">
        <v>31</v>
      </c>
      <c r="C406" s="23">
        <v>45000</v>
      </c>
      <c r="D406" s="41" t="s">
        <v>32</v>
      </c>
      <c r="E406" s="24" t="s">
        <v>33</v>
      </c>
      <c r="F406" s="25" t="s">
        <v>34</v>
      </c>
    </row>
    <row r="407" spans="1:6" ht="15" thickBot="1" x14ac:dyDescent="0.35">
      <c r="A407" s="42"/>
      <c r="B407" s="22" t="s">
        <v>35</v>
      </c>
      <c r="C407" s="26">
        <f>IF(C406="","",IF(AND(MONTH(C406)&gt;=1,MONTH(C406)&lt;=3),1,IF(AND(MONTH(C406)&gt;=4,MONTH(C406)&lt;=6),2,IF(AND(MONTH(C406)&gt;=7,MONTH(C406)&lt;=9),3,4))))</f>
        <v>1</v>
      </c>
      <c r="D407" s="42"/>
      <c r="E407" s="24" t="s">
        <v>36</v>
      </c>
      <c r="F407" s="25" t="s">
        <v>37</v>
      </c>
    </row>
    <row r="408" spans="1:6" ht="15" thickBot="1" x14ac:dyDescent="0.35">
      <c r="A408" s="42"/>
      <c r="B408" s="22" t="s">
        <v>38</v>
      </c>
      <c r="C408" s="23">
        <v>45031</v>
      </c>
      <c r="D408" s="42"/>
      <c r="E408" s="24" t="s">
        <v>39</v>
      </c>
      <c r="F408" s="25" t="s">
        <v>37</v>
      </c>
    </row>
    <row r="409" spans="1:6" ht="15" thickBot="1" x14ac:dyDescent="0.35">
      <c r="A409" s="42"/>
      <c r="B409" s="22" t="s">
        <v>35</v>
      </c>
      <c r="C409" s="26">
        <f>IF(C408="","",IF(AND(MONTH(C408)&gt;=1,MONTH(C408)&lt;=3),1,IF(AND(MONTH(C408)&gt;=4,MONTH(C408)&lt;=6),2,IF(AND(MONTH(C408)&gt;=7,MONTH(C408)&lt;=9),3,4))))</f>
        <v>2</v>
      </c>
      <c r="D409" s="42"/>
      <c r="E409" s="24" t="s">
        <v>40</v>
      </c>
      <c r="F409" s="25"/>
    </row>
    <row r="410" spans="1:6" ht="15" thickBot="1" x14ac:dyDescent="0.35">
      <c r="A410" s="19"/>
      <c r="B410" s="19"/>
      <c r="C410" s="19"/>
      <c r="D410" s="19"/>
      <c r="E410" s="19"/>
      <c r="F410" s="19"/>
    </row>
    <row r="411" spans="1:6" ht="15" thickBot="1" x14ac:dyDescent="0.35">
      <c r="A411" s="27" t="s">
        <v>41</v>
      </c>
      <c r="B411" s="27" t="s">
        <v>42</v>
      </c>
      <c r="C411" s="27" t="s">
        <v>43</v>
      </c>
      <c r="D411" s="27" t="s">
        <v>44</v>
      </c>
      <c r="E411" s="27" t="s">
        <v>45</v>
      </c>
      <c r="F411" s="27" t="s">
        <v>46</v>
      </c>
    </row>
    <row r="412" spans="1:6" x14ac:dyDescent="0.3">
      <c r="A412" s="28" t="s">
        <v>158</v>
      </c>
      <c r="B412" s="29" t="str">
        <f ca="1">IFERROR(INDEX(UNSPSCDes,MATCH(INDIRECT(ADDRESS(ROW(),COLUMN()-1,4)),UNSPSCCode,0)),IF(INDIRECT(ADDRESS(ROW(),COLUMN()-1,4))="13101723","Termoplástico",""))</f>
        <v>Termoplástico</v>
      </c>
      <c r="C412" s="30" t="str">
        <f>IFERROR(VLOOKUP("UD",'[1]Informacion '!P:Q,2,FALSE),"")</f>
        <v>Unidad</v>
      </c>
      <c r="D412" s="28">
        <v>10</v>
      </c>
      <c r="E412" s="31">
        <v>500</v>
      </c>
      <c r="F412" s="32">
        <f ca="1">INDIRECT(ADDRESS(ROW(),COLUMN()-2,4))*INDIRECT(ADDRESS(ROW(),COLUMN()-1,4))</f>
        <v>5000</v>
      </c>
    </row>
    <row r="413" spans="1:6" x14ac:dyDescent="0.3">
      <c r="A413" s="28" t="s">
        <v>159</v>
      </c>
      <c r="B413" s="29" t="str">
        <f ca="1">IFERROR(INDEX(UNSPSCDes,MATCH(INDIRECT(ADDRESS(ROW(),COLUMN()-1,4)),UNSPSCCode,0)),IF(INDIRECT(ADDRESS(ROW(),COLUMN()-1,4))="24141502","Láminas elásticas de embalaje",""))</f>
        <v>Láminas elásticas de embalaje</v>
      </c>
      <c r="C413" s="30" t="str">
        <f>IFERROR(VLOOKUP("UD",'[1]Informacion '!P:Q,2,FALSE),"")</f>
        <v>Unidad</v>
      </c>
      <c r="D413" s="28">
        <v>10</v>
      </c>
      <c r="E413" s="31">
        <v>500</v>
      </c>
      <c r="F413" s="32">
        <f ca="1">INDIRECT(ADDRESS(ROW(),COLUMN()-2,4))*INDIRECT(ADDRESS(ROW(),COLUMN()-1,4))</f>
        <v>5000</v>
      </c>
    </row>
    <row r="414" spans="1:6" x14ac:dyDescent="0.3">
      <c r="A414" s="19"/>
      <c r="B414" s="19"/>
      <c r="C414" s="19"/>
      <c r="D414" s="19"/>
      <c r="E414" s="33" t="s">
        <v>48</v>
      </c>
      <c r="F414" s="34">
        <f ca="1">SUM(Table34[MONTO TOTAL ESTIMADO])</f>
        <v>10000</v>
      </c>
    </row>
    <row r="415" spans="1:6" ht="15" thickBot="1" x14ac:dyDescent="0.35">
      <c r="A415" s="19"/>
      <c r="B415" s="19"/>
      <c r="C415" s="19"/>
      <c r="D415" s="19"/>
      <c r="E415" s="19"/>
      <c r="F415" s="19"/>
    </row>
    <row r="416" spans="1:6" ht="21" thickBot="1" x14ac:dyDescent="0.35">
      <c r="A416" s="20" t="s">
        <v>19</v>
      </c>
      <c r="B416" s="20" t="s">
        <v>20</v>
      </c>
      <c r="C416" s="20" t="s">
        <v>21</v>
      </c>
      <c r="D416" s="20" t="s">
        <v>22</v>
      </c>
      <c r="E416" s="20" t="s">
        <v>23</v>
      </c>
      <c r="F416" s="20" t="s">
        <v>24</v>
      </c>
    </row>
    <row r="417" spans="1:6" ht="15" thickBot="1" x14ac:dyDescent="0.35">
      <c r="A417" s="21" t="s">
        <v>160</v>
      </c>
      <c r="B417" s="21" t="s">
        <v>161</v>
      </c>
      <c r="C417" s="21" t="s">
        <v>27</v>
      </c>
      <c r="D417" s="21" t="s">
        <v>68</v>
      </c>
      <c r="E417" s="21" t="s">
        <v>29</v>
      </c>
      <c r="F417" s="21" t="s">
        <v>18</v>
      </c>
    </row>
    <row r="418" spans="1:6" ht="15" thickBot="1" x14ac:dyDescent="0.35">
      <c r="A418" s="41" t="s">
        <v>30</v>
      </c>
      <c r="B418" s="22" t="s">
        <v>31</v>
      </c>
      <c r="C418" s="23">
        <v>45000</v>
      </c>
      <c r="D418" s="41" t="s">
        <v>32</v>
      </c>
      <c r="E418" s="24" t="s">
        <v>33</v>
      </c>
      <c r="F418" s="25" t="s">
        <v>34</v>
      </c>
    </row>
    <row r="419" spans="1:6" ht="15" thickBot="1" x14ac:dyDescent="0.35">
      <c r="A419" s="42"/>
      <c r="B419" s="22" t="s">
        <v>35</v>
      </c>
      <c r="C419" s="26">
        <f>IF(C418="","",IF(AND(MONTH(C418)&gt;=1,MONTH(C418)&lt;=3),1,IF(AND(MONTH(C418)&gt;=4,MONTH(C418)&lt;=6),2,IF(AND(MONTH(C418)&gt;=7,MONTH(C418)&lt;=9),3,4))))</f>
        <v>1</v>
      </c>
      <c r="D419" s="42"/>
      <c r="E419" s="24" t="s">
        <v>36</v>
      </c>
      <c r="F419" s="25" t="s">
        <v>37</v>
      </c>
    </row>
    <row r="420" spans="1:6" ht="15" thickBot="1" x14ac:dyDescent="0.35">
      <c r="A420" s="42"/>
      <c r="B420" s="22" t="s">
        <v>38</v>
      </c>
      <c r="C420" s="23">
        <v>45031</v>
      </c>
      <c r="D420" s="42"/>
      <c r="E420" s="24" t="s">
        <v>39</v>
      </c>
      <c r="F420" s="25" t="s">
        <v>37</v>
      </c>
    </row>
    <row r="421" spans="1:6" ht="15" thickBot="1" x14ac:dyDescent="0.35">
      <c r="A421" s="42"/>
      <c r="B421" s="22" t="s">
        <v>35</v>
      </c>
      <c r="C421" s="26">
        <f>IF(C420="","",IF(AND(MONTH(C420)&gt;=1,MONTH(C420)&lt;=3),1,IF(AND(MONTH(C420)&gt;=4,MONTH(C420)&lt;=6),2,IF(AND(MONTH(C420)&gt;=7,MONTH(C420)&lt;=9),3,4))))</f>
        <v>2</v>
      </c>
      <c r="D421" s="42"/>
      <c r="E421" s="24" t="s">
        <v>40</v>
      </c>
      <c r="F421" s="25"/>
    </row>
    <row r="422" spans="1:6" ht="15" thickBot="1" x14ac:dyDescent="0.35">
      <c r="A422" s="19"/>
      <c r="B422" s="19"/>
      <c r="C422" s="19"/>
      <c r="D422" s="19"/>
      <c r="E422" s="19"/>
      <c r="F422" s="19"/>
    </row>
    <row r="423" spans="1:6" ht="15" thickBot="1" x14ac:dyDescent="0.35">
      <c r="A423" s="27" t="s">
        <v>41</v>
      </c>
      <c r="B423" s="27" t="s">
        <v>42</v>
      </c>
      <c r="C423" s="27" t="s">
        <v>43</v>
      </c>
      <c r="D423" s="27" t="s">
        <v>44</v>
      </c>
      <c r="E423" s="27" t="s">
        <v>45</v>
      </c>
      <c r="F423" s="27" t="s">
        <v>46</v>
      </c>
    </row>
    <row r="424" spans="1:6" x14ac:dyDescent="0.3">
      <c r="A424" s="28" t="s">
        <v>162</v>
      </c>
      <c r="B424" s="29" t="str">
        <f ca="1">IFERROR(INDEX(UNSPSCDes,MATCH(INDIRECT(ADDRESS(ROW(),COLUMN()-1,4)),UNSPSCCode,0)),IF(INDIRECT(ADDRESS(ROW(),COLUMN()-1,4))="15101506","Gasolina",""))</f>
        <v>Gasolina</v>
      </c>
      <c r="C424" s="30" t="str">
        <f>IFERROR(VLOOKUP("PAQ",'[1]Informacion '!P:Q,2,FALSE),"")</f>
        <v>Paquete</v>
      </c>
      <c r="D424" s="28">
        <v>1</v>
      </c>
      <c r="E424" s="31">
        <v>1700000</v>
      </c>
      <c r="F424" s="32">
        <f ca="1">INDIRECT(ADDRESS(ROW(),COLUMN()-2,4))*INDIRECT(ADDRESS(ROW(),COLUMN()-1,4))</f>
        <v>1700000</v>
      </c>
    </row>
    <row r="425" spans="1:6" x14ac:dyDescent="0.3">
      <c r="A425" s="28" t="s">
        <v>163</v>
      </c>
      <c r="B425" s="29" t="str">
        <f ca="1">IFERROR(INDEX(UNSPSCDes,MATCH(INDIRECT(ADDRESS(ROW(),COLUMN()-1,4)),UNSPSCCode,0)),IF(INDIRECT(ADDRESS(ROW(),COLUMN()-1,4))="15101505","Combustible diesel",""))</f>
        <v>Combustible diesel</v>
      </c>
      <c r="C425" s="30" t="str">
        <f>IFERROR(VLOOKUP("PAQ",'[1]Informacion '!P:Q,2,FALSE),"")</f>
        <v>Paquete</v>
      </c>
      <c r="D425" s="28">
        <v>1</v>
      </c>
      <c r="E425" s="31">
        <v>10170000</v>
      </c>
      <c r="F425" s="32">
        <f ca="1">INDIRECT(ADDRESS(ROW(),COLUMN()-2,4))*INDIRECT(ADDRESS(ROW(),COLUMN()-1,4))</f>
        <v>10170000</v>
      </c>
    </row>
    <row r="426" spans="1:6" x14ac:dyDescent="0.3">
      <c r="A426" s="19"/>
      <c r="B426" s="19"/>
      <c r="C426" s="19"/>
      <c r="D426" s="19"/>
      <c r="E426" s="33" t="s">
        <v>48</v>
      </c>
      <c r="F426" s="34">
        <f ca="1">SUM(Table35[MONTO TOTAL ESTIMADO])</f>
        <v>11870000</v>
      </c>
    </row>
    <row r="427" spans="1:6" ht="15" thickBot="1" x14ac:dyDescent="0.35">
      <c r="A427" s="19"/>
      <c r="B427" s="19"/>
      <c r="C427" s="19"/>
      <c r="D427" s="19"/>
      <c r="E427" s="19"/>
      <c r="F427" s="19"/>
    </row>
    <row r="428" spans="1:6" ht="21" thickBot="1" x14ac:dyDescent="0.35">
      <c r="A428" s="20" t="s">
        <v>19</v>
      </c>
      <c r="B428" s="20" t="s">
        <v>20</v>
      </c>
      <c r="C428" s="20" t="s">
        <v>21</v>
      </c>
      <c r="D428" s="20" t="s">
        <v>22</v>
      </c>
      <c r="E428" s="20" t="s">
        <v>23</v>
      </c>
      <c r="F428" s="20" t="s">
        <v>24</v>
      </c>
    </row>
    <row r="429" spans="1:6" ht="15" thickBot="1" x14ac:dyDescent="0.35">
      <c r="A429" s="21" t="s">
        <v>164</v>
      </c>
      <c r="B429" s="21" t="s">
        <v>164</v>
      </c>
      <c r="C429" s="21" t="s">
        <v>60</v>
      </c>
      <c r="D429" s="21" t="s">
        <v>94</v>
      </c>
      <c r="E429" s="21" t="s">
        <v>54</v>
      </c>
      <c r="F429" s="21" t="s">
        <v>18</v>
      </c>
    </row>
    <row r="430" spans="1:6" ht="15" thickBot="1" x14ac:dyDescent="0.35">
      <c r="A430" s="41" t="s">
        <v>30</v>
      </c>
      <c r="B430" s="22" t="s">
        <v>31</v>
      </c>
      <c r="C430" s="23">
        <v>45000</v>
      </c>
      <c r="D430" s="41" t="s">
        <v>32</v>
      </c>
      <c r="E430" s="24" t="s">
        <v>33</v>
      </c>
      <c r="F430" s="25" t="s">
        <v>34</v>
      </c>
    </row>
    <row r="431" spans="1:6" ht="15" thickBot="1" x14ac:dyDescent="0.35">
      <c r="A431" s="42"/>
      <c r="B431" s="22" t="s">
        <v>35</v>
      </c>
      <c r="C431" s="26">
        <f>IF(C430="","",IF(AND(MONTH(C430)&gt;=1,MONTH(C430)&lt;=3),1,IF(AND(MONTH(C430)&gt;=4,MONTH(C430)&lt;=6),2,IF(AND(MONTH(C430)&gt;=7,MONTH(C430)&lt;=9),3,4))))</f>
        <v>1</v>
      </c>
      <c r="D431" s="42"/>
      <c r="E431" s="24" t="s">
        <v>36</v>
      </c>
      <c r="F431" s="25" t="s">
        <v>37</v>
      </c>
    </row>
    <row r="432" spans="1:6" ht="15" thickBot="1" x14ac:dyDescent="0.35">
      <c r="A432" s="42"/>
      <c r="B432" s="22" t="s">
        <v>38</v>
      </c>
      <c r="C432" s="23">
        <v>45031</v>
      </c>
      <c r="D432" s="42"/>
      <c r="E432" s="24" t="s">
        <v>39</v>
      </c>
      <c r="F432" s="25" t="s">
        <v>37</v>
      </c>
    </row>
    <row r="433" spans="1:6" ht="15" thickBot="1" x14ac:dyDescent="0.35">
      <c r="A433" s="42"/>
      <c r="B433" s="22" t="s">
        <v>35</v>
      </c>
      <c r="C433" s="26">
        <f>IF(C432="","",IF(AND(MONTH(C432)&gt;=1,MONTH(C432)&lt;=3),1,IF(AND(MONTH(C432)&gt;=4,MONTH(C432)&lt;=6),2,IF(AND(MONTH(C432)&gt;=7,MONTH(C432)&lt;=9),3,4))))</f>
        <v>2</v>
      </c>
      <c r="D433" s="42"/>
      <c r="E433" s="24" t="s">
        <v>40</v>
      </c>
      <c r="F433" s="25"/>
    </row>
    <row r="434" spans="1:6" ht="15" thickBot="1" x14ac:dyDescent="0.35">
      <c r="A434" s="19"/>
      <c r="B434" s="19"/>
      <c r="C434" s="19"/>
      <c r="D434" s="19"/>
      <c r="E434" s="19"/>
      <c r="F434" s="19"/>
    </row>
    <row r="435" spans="1:6" ht="15" thickBot="1" x14ac:dyDescent="0.35">
      <c r="A435" s="27" t="s">
        <v>41</v>
      </c>
      <c r="B435" s="27" t="s">
        <v>42</v>
      </c>
      <c r="C435" s="27" t="s">
        <v>43</v>
      </c>
      <c r="D435" s="27" t="s">
        <v>44</v>
      </c>
      <c r="E435" s="27" t="s">
        <v>45</v>
      </c>
      <c r="F435" s="27" t="s">
        <v>46</v>
      </c>
    </row>
    <row r="436" spans="1:6" x14ac:dyDescent="0.3">
      <c r="A436" s="28" t="s">
        <v>165</v>
      </c>
      <c r="B436" s="29" t="str">
        <f ca="1">IFERROR(INDEX(UNSPSCDes,MATCH(INDIRECT(ADDRESS(ROW(),COLUMN()-1,4)),UNSPSCCode,0)),IF(INDIRECT(ADDRESS(ROW(),COLUMN()-1,4))="15121501","Aceite motor",""))</f>
        <v>Aceite motor</v>
      </c>
      <c r="C436" s="30" t="str">
        <f>IFERROR(VLOOKUP("GAL",'[1]Informacion '!P:Q,2,FALSE),"")</f>
        <v>Galón</v>
      </c>
      <c r="D436" s="28">
        <v>5</v>
      </c>
      <c r="E436" s="31">
        <v>2600</v>
      </c>
      <c r="F436" s="32">
        <f ca="1">INDIRECT(ADDRESS(ROW(),COLUMN()-2,4))*INDIRECT(ADDRESS(ROW(),COLUMN()-1,4))</f>
        <v>13000</v>
      </c>
    </row>
    <row r="437" spans="1:6" x14ac:dyDescent="0.3">
      <c r="A437" s="28" t="s">
        <v>166</v>
      </c>
      <c r="B437" s="29" t="str">
        <f ca="1">IFERROR(INDEX(UNSPSCDes,MATCH(INDIRECT(ADDRESS(ROW(),COLUMN()-1,4)),UNSPSCCode,0)),IF(INDIRECT(ADDRESS(ROW(),COLUMN()-1,4))="15121504","Aceite hidráulico",""))</f>
        <v>Aceite hidráulico</v>
      </c>
      <c r="C437" s="30" t="str">
        <f>IFERROR(VLOOKUP("GAL",'[1]Informacion '!P:Q,2,FALSE),"")</f>
        <v>Galón</v>
      </c>
      <c r="D437" s="28">
        <v>2</v>
      </c>
      <c r="E437" s="31">
        <v>650</v>
      </c>
      <c r="F437" s="32">
        <f ca="1">INDIRECT(ADDRESS(ROW(),COLUMN()-2,4))*INDIRECT(ADDRESS(ROW(),COLUMN()-1,4))</f>
        <v>1300</v>
      </c>
    </row>
    <row r="438" spans="1:6" x14ac:dyDescent="0.3">
      <c r="A438" s="28" t="s">
        <v>167</v>
      </c>
      <c r="B438" s="29" t="str">
        <f ca="1">IFERROR(INDEX(UNSPSCDes,MATCH(INDIRECT(ADDRESS(ROW(),COLUMN()-1,4)),UNSPSCCode,0)),IF(INDIRECT(ADDRESS(ROW(),COLUMN()-1,4))="15121508","Aceite de transmisión",""))</f>
        <v>Aceite de transmisión</v>
      </c>
      <c r="C438" s="30" t="str">
        <f>IFERROR(VLOOKUP("GAL",'[1]Informacion '!P:Q,2,FALSE),"")</f>
        <v>Galón</v>
      </c>
      <c r="D438" s="28">
        <v>2</v>
      </c>
      <c r="E438" s="31">
        <v>2026</v>
      </c>
      <c r="F438" s="32">
        <f ca="1">INDIRECT(ADDRESS(ROW(),COLUMN()-2,4))*INDIRECT(ADDRESS(ROW(),COLUMN()-1,4))</f>
        <v>4052</v>
      </c>
    </row>
    <row r="439" spans="1:6" x14ac:dyDescent="0.3">
      <c r="A439" s="28" t="s">
        <v>168</v>
      </c>
      <c r="B439" s="29" t="str">
        <f ca="1">IFERROR(INDEX(UNSPSCDes,MATCH(INDIRECT(ADDRESS(ROW(),COLUMN()-1,4)),UNSPSCCode,0)),IF(INDIRECT(ADDRESS(ROW(),COLUMN()-1,4))="15121509","Aceite de frenos",""))</f>
        <v>Aceite de frenos</v>
      </c>
      <c r="C439" s="30" t="str">
        <f>IFERROR(VLOOKUP("UD",'[1]Informacion '!P:Q,2,FALSE),"")</f>
        <v>Unidad</v>
      </c>
      <c r="D439" s="28">
        <v>10</v>
      </c>
      <c r="E439" s="31">
        <v>225</v>
      </c>
      <c r="F439" s="32">
        <f ca="1">INDIRECT(ADDRESS(ROW(),COLUMN()-2,4))*INDIRECT(ADDRESS(ROW(),COLUMN()-1,4))</f>
        <v>2250</v>
      </c>
    </row>
    <row r="440" spans="1:6" x14ac:dyDescent="0.3">
      <c r="A440" s="19"/>
      <c r="B440" s="19"/>
      <c r="C440" s="19"/>
      <c r="D440" s="19"/>
      <c r="E440" s="33" t="s">
        <v>48</v>
      </c>
      <c r="F440" s="34">
        <f ca="1">SUM(Table36[MONTO TOTAL ESTIMADO])</f>
        <v>20602</v>
      </c>
    </row>
    <row r="441" spans="1:6" ht="15" thickBot="1" x14ac:dyDescent="0.35">
      <c r="A441" s="19"/>
      <c r="B441" s="19"/>
      <c r="C441" s="19"/>
      <c r="D441" s="19"/>
      <c r="E441" s="19"/>
      <c r="F441" s="19"/>
    </row>
    <row r="442" spans="1:6" ht="21" thickBot="1" x14ac:dyDescent="0.35">
      <c r="A442" s="20" t="s">
        <v>19</v>
      </c>
      <c r="B442" s="20" t="s">
        <v>20</v>
      </c>
      <c r="C442" s="20" t="s">
        <v>21</v>
      </c>
      <c r="D442" s="20" t="s">
        <v>22</v>
      </c>
      <c r="E442" s="20" t="s">
        <v>23</v>
      </c>
      <c r="F442" s="20" t="s">
        <v>24</v>
      </c>
    </row>
    <row r="443" spans="1:6" ht="15" thickBot="1" x14ac:dyDescent="0.35">
      <c r="A443" s="21" t="s">
        <v>169</v>
      </c>
      <c r="B443" s="21" t="s">
        <v>170</v>
      </c>
      <c r="C443" s="21" t="s">
        <v>60</v>
      </c>
      <c r="D443" s="21" t="s">
        <v>94</v>
      </c>
      <c r="E443" s="21" t="s">
        <v>54</v>
      </c>
      <c r="F443" s="21" t="s">
        <v>18</v>
      </c>
    </row>
    <row r="444" spans="1:6" ht="15" thickBot="1" x14ac:dyDescent="0.35">
      <c r="A444" s="41" t="s">
        <v>30</v>
      </c>
      <c r="B444" s="22" t="s">
        <v>31</v>
      </c>
      <c r="C444" s="23">
        <v>44972</v>
      </c>
      <c r="D444" s="41" t="s">
        <v>32</v>
      </c>
      <c r="E444" s="24" t="s">
        <v>33</v>
      </c>
      <c r="F444" s="25" t="s">
        <v>34</v>
      </c>
    </row>
    <row r="445" spans="1:6" ht="15" thickBot="1" x14ac:dyDescent="0.35">
      <c r="A445" s="42"/>
      <c r="B445" s="22" t="s">
        <v>35</v>
      </c>
      <c r="C445" s="26">
        <f>IF(C444="","",IF(AND(MONTH(C444)&gt;=1,MONTH(C444)&lt;=3),1,IF(AND(MONTH(C444)&gt;=4,MONTH(C444)&lt;=6),2,IF(AND(MONTH(C444)&gt;=7,MONTH(C444)&lt;=9),3,4))))</f>
        <v>1</v>
      </c>
      <c r="D445" s="42"/>
      <c r="E445" s="24" t="s">
        <v>36</v>
      </c>
      <c r="F445" s="25" t="s">
        <v>37</v>
      </c>
    </row>
    <row r="446" spans="1:6" ht="15" thickBot="1" x14ac:dyDescent="0.35">
      <c r="A446" s="42"/>
      <c r="B446" s="22" t="s">
        <v>38</v>
      </c>
      <c r="C446" s="23">
        <v>45000</v>
      </c>
      <c r="D446" s="42"/>
      <c r="E446" s="24" t="s">
        <v>39</v>
      </c>
      <c r="F446" s="25" t="s">
        <v>37</v>
      </c>
    </row>
    <row r="447" spans="1:6" ht="15" thickBot="1" x14ac:dyDescent="0.35">
      <c r="A447" s="42"/>
      <c r="B447" s="22" t="s">
        <v>35</v>
      </c>
      <c r="C447" s="26">
        <f>IF(C446="","",IF(AND(MONTH(C446)&gt;=1,MONTH(C446)&lt;=3),1,IF(AND(MONTH(C446)&gt;=4,MONTH(C446)&lt;=6),2,IF(AND(MONTH(C446)&gt;=7,MONTH(C446)&lt;=9),3,4))))</f>
        <v>1</v>
      </c>
      <c r="D447" s="42"/>
      <c r="E447" s="24" t="s">
        <v>40</v>
      </c>
      <c r="F447" s="25"/>
    </row>
    <row r="448" spans="1:6" ht="15" thickBot="1" x14ac:dyDescent="0.35">
      <c r="A448" s="19"/>
      <c r="B448" s="19"/>
      <c r="C448" s="19"/>
      <c r="D448" s="19"/>
      <c r="E448" s="19"/>
      <c r="F448" s="19"/>
    </row>
    <row r="449" spans="1:6" ht="15" thickBot="1" x14ac:dyDescent="0.35">
      <c r="A449" s="27" t="s">
        <v>41</v>
      </c>
      <c r="B449" s="27" t="s">
        <v>42</v>
      </c>
      <c r="C449" s="27" t="s">
        <v>43</v>
      </c>
      <c r="D449" s="27" t="s">
        <v>44</v>
      </c>
      <c r="E449" s="27" t="s">
        <v>45</v>
      </c>
      <c r="F449" s="27" t="s">
        <v>46</v>
      </c>
    </row>
    <row r="450" spans="1:6" x14ac:dyDescent="0.3">
      <c r="A450" s="28" t="s">
        <v>171</v>
      </c>
      <c r="B450" s="29" t="str">
        <f ca="1">IFERROR(INDEX(UNSPSCDes,MATCH(INDIRECT(ADDRESS(ROW(),COLUMN()-1,4)),UNSPSCCode,0)),IF(INDIRECT(ADDRESS(ROW(),COLUMN()-1,4))="31211508","Pinturas acrílicas",""))</f>
        <v>Pinturas acrílicas</v>
      </c>
      <c r="C450" s="30" t="str">
        <f>IFERROR(VLOOKUP("PAQ",'[1]Informacion '!P:Q,2,FALSE),"")</f>
        <v>Paquete</v>
      </c>
      <c r="D450" s="28">
        <v>10</v>
      </c>
      <c r="E450" s="31">
        <v>16000</v>
      </c>
      <c r="F450" s="32">
        <f ca="1">INDIRECT(ADDRESS(ROW(),COLUMN()-2,4))*INDIRECT(ADDRESS(ROW(),COLUMN()-1,4))</f>
        <v>160000</v>
      </c>
    </row>
    <row r="451" spans="1:6" x14ac:dyDescent="0.3">
      <c r="A451" s="28" t="s">
        <v>172</v>
      </c>
      <c r="B451" s="29" t="str">
        <f ca="1">IFERROR(INDEX(UNSPSCDes,MATCH(INDIRECT(ADDRESS(ROW(),COLUMN()-1,4)),UNSPSCCode,0)),IF(INDIRECT(ADDRESS(ROW(),COLUMN()-1,4))="31211604","Extensor o retardador de pintura",""))</f>
        <v>Extensor o retardador de pintura</v>
      </c>
      <c r="C451" s="30" t="str">
        <f>IFERROR(VLOOKUP("UD",'[1]Informacion '!P:Q,2,FALSE),"")</f>
        <v>Unidad</v>
      </c>
      <c r="D451" s="28">
        <v>5</v>
      </c>
      <c r="E451" s="31">
        <v>650</v>
      </c>
      <c r="F451" s="32">
        <f ca="1">INDIRECT(ADDRESS(ROW(),COLUMN()-2,4))*INDIRECT(ADDRESS(ROW(),COLUMN()-1,4))</f>
        <v>3250</v>
      </c>
    </row>
    <row r="452" spans="1:6" x14ac:dyDescent="0.3">
      <c r="A452" s="28" t="s">
        <v>173</v>
      </c>
      <c r="B452" s="29" t="str">
        <f ca="1">IFERROR(INDEX(UNSPSCDes,MATCH(INDIRECT(ADDRESS(ROW(),COLUMN()-1,4)),UNSPSCCode,0)),IF(INDIRECT(ADDRESS(ROW(),COLUMN()-1,4))="31211801","Removedores de pintura o barniz",""))</f>
        <v>Removedores de pintura o barniz</v>
      </c>
      <c r="C452" s="30" t="str">
        <f>IFERROR(VLOOKUP("UD",'[1]Informacion '!P:Q,2,FALSE),"")</f>
        <v>Unidad</v>
      </c>
      <c r="D452" s="28">
        <v>5</v>
      </c>
      <c r="E452" s="31">
        <v>550</v>
      </c>
      <c r="F452" s="32">
        <f ca="1">INDIRECT(ADDRESS(ROW(),COLUMN()-2,4))*INDIRECT(ADDRESS(ROW(),COLUMN()-1,4))</f>
        <v>2750</v>
      </c>
    </row>
    <row r="453" spans="1:6" x14ac:dyDescent="0.3">
      <c r="A453" s="19"/>
      <c r="B453" s="19"/>
      <c r="C453" s="19"/>
      <c r="D453" s="19"/>
      <c r="E453" s="33" t="s">
        <v>48</v>
      </c>
      <c r="F453" s="34">
        <f ca="1">SUM(Table37[MONTO TOTAL ESTIMADO])</f>
        <v>166000</v>
      </c>
    </row>
    <row r="454" spans="1:6" ht="15" thickBot="1" x14ac:dyDescent="0.35">
      <c r="A454" s="19"/>
      <c r="B454" s="19"/>
      <c r="C454" s="19"/>
      <c r="D454" s="19"/>
      <c r="E454" s="19"/>
      <c r="F454" s="19"/>
    </row>
    <row r="455" spans="1:6" ht="21" thickBot="1" x14ac:dyDescent="0.35">
      <c r="A455" s="20" t="s">
        <v>19</v>
      </c>
      <c r="B455" s="20" t="s">
        <v>20</v>
      </c>
      <c r="C455" s="20" t="s">
        <v>21</v>
      </c>
      <c r="D455" s="20" t="s">
        <v>22</v>
      </c>
      <c r="E455" s="20" t="s">
        <v>23</v>
      </c>
      <c r="F455" s="20" t="s">
        <v>24</v>
      </c>
    </row>
    <row r="456" spans="1:6" ht="15" thickBot="1" x14ac:dyDescent="0.35">
      <c r="A456" s="21" t="s">
        <v>174</v>
      </c>
      <c r="B456" s="21" t="s">
        <v>170</v>
      </c>
      <c r="C456" s="21" t="s">
        <v>60</v>
      </c>
      <c r="D456" s="21" t="s">
        <v>94</v>
      </c>
      <c r="E456" s="21" t="s">
        <v>54</v>
      </c>
      <c r="F456" s="21" t="s">
        <v>18</v>
      </c>
    </row>
    <row r="457" spans="1:6" ht="15" thickBot="1" x14ac:dyDescent="0.35">
      <c r="A457" s="41" t="s">
        <v>30</v>
      </c>
      <c r="B457" s="22" t="s">
        <v>31</v>
      </c>
      <c r="C457" s="23">
        <v>45031</v>
      </c>
      <c r="D457" s="41" t="s">
        <v>32</v>
      </c>
      <c r="E457" s="24" t="s">
        <v>33</v>
      </c>
      <c r="F457" s="25" t="s">
        <v>34</v>
      </c>
    </row>
    <row r="458" spans="1:6" ht="15" thickBot="1" x14ac:dyDescent="0.35">
      <c r="A458" s="42"/>
      <c r="B458" s="22" t="s">
        <v>35</v>
      </c>
      <c r="C458" s="26">
        <f>IF(C457="","",IF(AND(MONTH(C457)&gt;=1,MONTH(C457)&lt;=3),1,IF(AND(MONTH(C457)&gt;=4,MONTH(C457)&lt;=6),2,IF(AND(MONTH(C457)&gt;=7,MONTH(C457)&lt;=9),3,4))))</f>
        <v>2</v>
      </c>
      <c r="D458" s="42"/>
      <c r="E458" s="24" t="s">
        <v>36</v>
      </c>
      <c r="F458" s="25" t="s">
        <v>37</v>
      </c>
    </row>
    <row r="459" spans="1:6" ht="15" thickBot="1" x14ac:dyDescent="0.35">
      <c r="A459" s="42"/>
      <c r="B459" s="22" t="s">
        <v>38</v>
      </c>
      <c r="C459" s="23">
        <v>45061</v>
      </c>
      <c r="D459" s="42"/>
      <c r="E459" s="24" t="s">
        <v>39</v>
      </c>
      <c r="F459" s="25" t="s">
        <v>37</v>
      </c>
    </row>
    <row r="460" spans="1:6" ht="15" thickBot="1" x14ac:dyDescent="0.35">
      <c r="A460" s="42"/>
      <c r="B460" s="22" t="s">
        <v>35</v>
      </c>
      <c r="C460" s="26">
        <f>IF(C459="","",IF(AND(MONTH(C459)&gt;=1,MONTH(C459)&lt;=3),1,IF(AND(MONTH(C459)&gt;=4,MONTH(C459)&lt;=6),2,IF(AND(MONTH(C459)&gt;=7,MONTH(C459)&lt;=9),3,4))))</f>
        <v>2</v>
      </c>
      <c r="D460" s="42"/>
      <c r="E460" s="24" t="s">
        <v>40</v>
      </c>
      <c r="F460" s="25"/>
    </row>
    <row r="461" spans="1:6" ht="15" thickBot="1" x14ac:dyDescent="0.35">
      <c r="A461" s="19"/>
      <c r="B461" s="19"/>
      <c r="C461" s="19"/>
      <c r="D461" s="19"/>
      <c r="E461" s="19"/>
      <c r="F461" s="19"/>
    </row>
    <row r="462" spans="1:6" ht="15" thickBot="1" x14ac:dyDescent="0.35">
      <c r="A462" s="27" t="s">
        <v>41</v>
      </c>
      <c r="B462" s="27" t="s">
        <v>42</v>
      </c>
      <c r="C462" s="27" t="s">
        <v>43</v>
      </c>
      <c r="D462" s="27" t="s">
        <v>44</v>
      </c>
      <c r="E462" s="27" t="s">
        <v>45</v>
      </c>
      <c r="F462" s="27" t="s">
        <v>46</v>
      </c>
    </row>
    <row r="463" spans="1:6" x14ac:dyDescent="0.3">
      <c r="A463" s="28" t="s">
        <v>171</v>
      </c>
      <c r="B463" s="29" t="str">
        <f ca="1">IFERROR(INDEX(UNSPSCDes,MATCH(INDIRECT(ADDRESS(ROW(),COLUMN()-1,4)),UNSPSCCode,0)),IF(INDIRECT(ADDRESS(ROW(),COLUMN()-1,4))="31211508","Pinturas acrílicas",""))</f>
        <v>Pinturas acrílicas</v>
      </c>
      <c r="C463" s="30" t="str">
        <f>IFERROR(VLOOKUP("PAQ",'[1]Informacion '!P:Q,2,FALSE),"")</f>
        <v>Paquete</v>
      </c>
      <c r="D463" s="28">
        <v>10</v>
      </c>
      <c r="E463" s="31">
        <v>16000</v>
      </c>
      <c r="F463" s="32">
        <f ca="1">INDIRECT(ADDRESS(ROW(),COLUMN()-2,4))*INDIRECT(ADDRESS(ROW(),COLUMN()-1,4))</f>
        <v>160000</v>
      </c>
    </row>
    <row r="464" spans="1:6" x14ac:dyDescent="0.3">
      <c r="A464" s="28" t="s">
        <v>172</v>
      </c>
      <c r="B464" s="29" t="str">
        <f ca="1">IFERROR(INDEX(UNSPSCDes,MATCH(INDIRECT(ADDRESS(ROW(),COLUMN()-1,4)),UNSPSCCode,0)),IF(INDIRECT(ADDRESS(ROW(),COLUMN()-1,4))="31211604","Extensor o retardador de pintura",""))</f>
        <v>Extensor o retardador de pintura</v>
      </c>
      <c r="C464" s="30" t="str">
        <f>IFERROR(VLOOKUP("UD",'[1]Informacion '!P:Q,2,FALSE),"")</f>
        <v>Unidad</v>
      </c>
      <c r="D464" s="28">
        <v>5</v>
      </c>
      <c r="E464" s="31">
        <v>650</v>
      </c>
      <c r="F464" s="32">
        <f ca="1">INDIRECT(ADDRESS(ROW(),COLUMN()-2,4))*INDIRECT(ADDRESS(ROW(),COLUMN()-1,4))</f>
        <v>3250</v>
      </c>
    </row>
    <row r="465" spans="1:6" x14ac:dyDescent="0.3">
      <c r="A465" s="28" t="s">
        <v>173</v>
      </c>
      <c r="B465" s="29" t="str">
        <f ca="1">IFERROR(INDEX(UNSPSCDes,MATCH(INDIRECT(ADDRESS(ROW(),COLUMN()-1,4)),UNSPSCCode,0)),IF(INDIRECT(ADDRESS(ROW(),COLUMN()-1,4))="31211801","Removedores de pintura o barniz",""))</f>
        <v>Removedores de pintura o barniz</v>
      </c>
      <c r="C465" s="30" t="str">
        <f>IFERROR(VLOOKUP("UD",'[1]Informacion '!P:Q,2,FALSE),"")</f>
        <v>Unidad</v>
      </c>
      <c r="D465" s="28">
        <v>5</v>
      </c>
      <c r="E465" s="31">
        <v>550</v>
      </c>
      <c r="F465" s="32">
        <f ca="1">INDIRECT(ADDRESS(ROW(),COLUMN()-2,4))*INDIRECT(ADDRESS(ROW(),COLUMN()-1,4))</f>
        <v>2750</v>
      </c>
    </row>
    <row r="466" spans="1:6" x14ac:dyDescent="0.3">
      <c r="A466" s="19"/>
      <c r="B466" s="19"/>
      <c r="C466" s="19"/>
      <c r="D466" s="19"/>
      <c r="E466" s="33" t="s">
        <v>48</v>
      </c>
      <c r="F466" s="34">
        <f ca="1">SUM(Table38[MONTO TOTAL ESTIMADO])</f>
        <v>166000</v>
      </c>
    </row>
    <row r="467" spans="1:6" ht="15" thickBot="1" x14ac:dyDescent="0.35">
      <c r="A467" s="19"/>
      <c r="B467" s="19"/>
      <c r="C467" s="19"/>
      <c r="D467" s="19"/>
      <c r="E467" s="19"/>
      <c r="F467" s="19"/>
    </row>
    <row r="468" spans="1:6" ht="21" thickBot="1" x14ac:dyDescent="0.35">
      <c r="A468" s="20" t="s">
        <v>19</v>
      </c>
      <c r="B468" s="20" t="s">
        <v>20</v>
      </c>
      <c r="C468" s="20" t="s">
        <v>21</v>
      </c>
      <c r="D468" s="20" t="s">
        <v>22</v>
      </c>
      <c r="E468" s="20" t="s">
        <v>23</v>
      </c>
      <c r="F468" s="20" t="s">
        <v>24</v>
      </c>
    </row>
    <row r="469" spans="1:6" ht="15" thickBot="1" x14ac:dyDescent="0.35">
      <c r="A469" s="21" t="s">
        <v>174</v>
      </c>
      <c r="B469" s="21" t="s">
        <v>170</v>
      </c>
      <c r="C469" s="21" t="s">
        <v>60</v>
      </c>
      <c r="D469" s="21" t="s">
        <v>94</v>
      </c>
      <c r="E469" s="21" t="s">
        <v>54</v>
      </c>
      <c r="F469" s="21" t="s">
        <v>18</v>
      </c>
    </row>
    <row r="470" spans="1:6" ht="15" thickBot="1" x14ac:dyDescent="0.35">
      <c r="A470" s="41" t="s">
        <v>30</v>
      </c>
      <c r="B470" s="22" t="s">
        <v>31</v>
      </c>
      <c r="C470" s="23">
        <v>45122</v>
      </c>
      <c r="D470" s="41" t="s">
        <v>32</v>
      </c>
      <c r="E470" s="24" t="s">
        <v>33</v>
      </c>
      <c r="F470" s="25" t="s">
        <v>34</v>
      </c>
    </row>
    <row r="471" spans="1:6" ht="15" thickBot="1" x14ac:dyDescent="0.35">
      <c r="A471" s="42"/>
      <c r="B471" s="22" t="s">
        <v>35</v>
      </c>
      <c r="C471" s="26">
        <f>IF(C470="","",IF(AND(MONTH(C470)&gt;=1,MONTH(C470)&lt;=3),1,IF(AND(MONTH(C470)&gt;=4,MONTH(C470)&lt;=6),2,IF(AND(MONTH(C470)&gt;=7,MONTH(C470)&lt;=9),3,4))))</f>
        <v>3</v>
      </c>
      <c r="D471" s="42"/>
      <c r="E471" s="24" t="s">
        <v>36</v>
      </c>
      <c r="F471" s="25" t="s">
        <v>37</v>
      </c>
    </row>
    <row r="472" spans="1:6" ht="15" thickBot="1" x14ac:dyDescent="0.35">
      <c r="A472" s="42"/>
      <c r="B472" s="22" t="s">
        <v>38</v>
      </c>
      <c r="C472" s="23">
        <v>45153</v>
      </c>
      <c r="D472" s="42"/>
      <c r="E472" s="24" t="s">
        <v>39</v>
      </c>
      <c r="F472" s="25" t="s">
        <v>37</v>
      </c>
    </row>
    <row r="473" spans="1:6" ht="15" thickBot="1" x14ac:dyDescent="0.35">
      <c r="A473" s="42"/>
      <c r="B473" s="22" t="s">
        <v>35</v>
      </c>
      <c r="C473" s="26">
        <f>IF(C472="","",IF(AND(MONTH(C472)&gt;=1,MONTH(C472)&lt;=3),1,IF(AND(MONTH(C472)&gt;=4,MONTH(C472)&lt;=6),2,IF(AND(MONTH(C472)&gt;=7,MONTH(C472)&lt;=9),3,4))))</f>
        <v>3</v>
      </c>
      <c r="D473" s="42"/>
      <c r="E473" s="24" t="s">
        <v>40</v>
      </c>
      <c r="F473" s="25"/>
    </row>
    <row r="474" spans="1:6" ht="15" thickBot="1" x14ac:dyDescent="0.35">
      <c r="A474" s="19"/>
      <c r="B474" s="19"/>
      <c r="C474" s="19"/>
      <c r="D474" s="19"/>
      <c r="E474" s="19"/>
      <c r="F474" s="19"/>
    </row>
    <row r="475" spans="1:6" ht="15" thickBot="1" x14ac:dyDescent="0.35">
      <c r="A475" s="27" t="s">
        <v>41</v>
      </c>
      <c r="B475" s="27" t="s">
        <v>42</v>
      </c>
      <c r="C475" s="27" t="s">
        <v>43</v>
      </c>
      <c r="D475" s="27" t="s">
        <v>44</v>
      </c>
      <c r="E475" s="27" t="s">
        <v>45</v>
      </c>
      <c r="F475" s="27" t="s">
        <v>46</v>
      </c>
    </row>
    <row r="476" spans="1:6" x14ac:dyDescent="0.3">
      <c r="A476" s="28" t="s">
        <v>171</v>
      </c>
      <c r="B476" s="29" t="str">
        <f ca="1">IFERROR(INDEX(UNSPSCDes,MATCH(INDIRECT(ADDRESS(ROW(),COLUMN()-1,4)),UNSPSCCode,0)),IF(INDIRECT(ADDRESS(ROW(),COLUMN()-1,4))="31211508","Pinturas acrílicas",""))</f>
        <v>Pinturas acrílicas</v>
      </c>
      <c r="C476" s="30" t="str">
        <f>IFERROR(VLOOKUP("PAQ",'[1]Informacion '!P:Q,2,FALSE),"")</f>
        <v>Paquete</v>
      </c>
      <c r="D476" s="28">
        <v>10</v>
      </c>
      <c r="E476" s="31">
        <v>16000</v>
      </c>
      <c r="F476" s="32">
        <f ca="1">INDIRECT(ADDRESS(ROW(),COLUMN()-2,4))*INDIRECT(ADDRESS(ROW(),COLUMN()-1,4))</f>
        <v>160000</v>
      </c>
    </row>
    <row r="477" spans="1:6" x14ac:dyDescent="0.3">
      <c r="A477" s="28" t="s">
        <v>172</v>
      </c>
      <c r="B477" s="29" t="str">
        <f ca="1">IFERROR(INDEX(UNSPSCDes,MATCH(INDIRECT(ADDRESS(ROW(),COLUMN()-1,4)),UNSPSCCode,0)),IF(INDIRECT(ADDRESS(ROW(),COLUMN()-1,4))="31211604","Extensor o retardador de pintura",""))</f>
        <v>Extensor o retardador de pintura</v>
      </c>
      <c r="C477" s="30" t="str">
        <f>IFERROR(VLOOKUP("UD",'[1]Informacion '!P:Q,2,FALSE),"")</f>
        <v>Unidad</v>
      </c>
      <c r="D477" s="28">
        <v>5</v>
      </c>
      <c r="E477" s="31">
        <v>650</v>
      </c>
      <c r="F477" s="32">
        <f ca="1">INDIRECT(ADDRESS(ROW(),COLUMN()-2,4))*INDIRECT(ADDRESS(ROW(),COLUMN()-1,4))</f>
        <v>3250</v>
      </c>
    </row>
    <row r="478" spans="1:6" x14ac:dyDescent="0.3">
      <c r="A478" s="28" t="s">
        <v>173</v>
      </c>
      <c r="B478" s="29" t="str">
        <f ca="1">IFERROR(INDEX(UNSPSCDes,MATCH(INDIRECT(ADDRESS(ROW(),COLUMN()-1,4)),UNSPSCCode,0)),IF(INDIRECT(ADDRESS(ROW(),COLUMN()-1,4))="31211801","Removedores de pintura o barniz",""))</f>
        <v>Removedores de pintura o barniz</v>
      </c>
      <c r="C478" s="30" t="str">
        <f>IFERROR(VLOOKUP("UD",'[1]Informacion '!P:Q,2,FALSE),"")</f>
        <v>Unidad</v>
      </c>
      <c r="D478" s="28">
        <v>5</v>
      </c>
      <c r="E478" s="31">
        <v>550</v>
      </c>
      <c r="F478" s="32">
        <f ca="1">INDIRECT(ADDRESS(ROW(),COLUMN()-2,4))*INDIRECT(ADDRESS(ROW(),COLUMN()-1,4))</f>
        <v>2750</v>
      </c>
    </row>
    <row r="479" spans="1:6" x14ac:dyDescent="0.3">
      <c r="A479" s="19"/>
      <c r="B479" s="19"/>
      <c r="C479" s="19"/>
      <c r="D479" s="19"/>
      <c r="E479" s="33" t="s">
        <v>48</v>
      </c>
      <c r="F479" s="34">
        <f ca="1">SUM(Table39[MONTO TOTAL ESTIMADO])</f>
        <v>166000</v>
      </c>
    </row>
    <row r="480" spans="1:6" ht="15" thickBot="1" x14ac:dyDescent="0.35">
      <c r="A480" s="19"/>
      <c r="B480" s="19"/>
      <c r="C480" s="19"/>
      <c r="D480" s="19"/>
      <c r="E480" s="19"/>
      <c r="F480" s="19"/>
    </row>
    <row r="481" spans="1:6" ht="21" thickBot="1" x14ac:dyDescent="0.35">
      <c r="A481" s="20" t="s">
        <v>19</v>
      </c>
      <c r="B481" s="20" t="s">
        <v>20</v>
      </c>
      <c r="C481" s="20" t="s">
        <v>21</v>
      </c>
      <c r="D481" s="20" t="s">
        <v>22</v>
      </c>
      <c r="E481" s="20" t="s">
        <v>23</v>
      </c>
      <c r="F481" s="20" t="s">
        <v>24</v>
      </c>
    </row>
    <row r="482" spans="1:6" ht="15" thickBot="1" x14ac:dyDescent="0.35">
      <c r="A482" s="21" t="s">
        <v>174</v>
      </c>
      <c r="B482" s="21" t="s">
        <v>170</v>
      </c>
      <c r="C482" s="21" t="s">
        <v>60</v>
      </c>
      <c r="D482" s="21" t="s">
        <v>94</v>
      </c>
      <c r="E482" s="21" t="s">
        <v>54</v>
      </c>
      <c r="F482" s="21" t="s">
        <v>18</v>
      </c>
    </row>
    <row r="483" spans="1:6" ht="15" thickBot="1" x14ac:dyDescent="0.35">
      <c r="A483" s="41" t="s">
        <v>30</v>
      </c>
      <c r="B483" s="22" t="s">
        <v>31</v>
      </c>
      <c r="C483" s="23">
        <v>45184</v>
      </c>
      <c r="D483" s="41" t="s">
        <v>32</v>
      </c>
      <c r="E483" s="24" t="s">
        <v>33</v>
      </c>
      <c r="F483" s="25" t="s">
        <v>34</v>
      </c>
    </row>
    <row r="484" spans="1:6" ht="15" thickBot="1" x14ac:dyDescent="0.35">
      <c r="A484" s="42"/>
      <c r="B484" s="22" t="s">
        <v>35</v>
      </c>
      <c r="C484" s="26">
        <f>IF(C483="","",IF(AND(MONTH(C483)&gt;=1,MONTH(C483)&lt;=3),1,IF(AND(MONTH(C483)&gt;=4,MONTH(C483)&lt;=6),2,IF(AND(MONTH(C483)&gt;=7,MONTH(C483)&lt;=9),3,4))))</f>
        <v>3</v>
      </c>
      <c r="D484" s="42"/>
      <c r="E484" s="24" t="s">
        <v>36</v>
      </c>
      <c r="F484" s="25" t="s">
        <v>37</v>
      </c>
    </row>
    <row r="485" spans="1:6" ht="15" thickBot="1" x14ac:dyDescent="0.35">
      <c r="A485" s="42"/>
      <c r="B485" s="22" t="s">
        <v>38</v>
      </c>
      <c r="C485" s="23">
        <v>45214</v>
      </c>
      <c r="D485" s="42"/>
      <c r="E485" s="24" t="s">
        <v>39</v>
      </c>
      <c r="F485" s="25" t="s">
        <v>37</v>
      </c>
    </row>
    <row r="486" spans="1:6" ht="15" thickBot="1" x14ac:dyDescent="0.35">
      <c r="A486" s="42"/>
      <c r="B486" s="22" t="s">
        <v>35</v>
      </c>
      <c r="C486" s="26">
        <f>IF(C485="","",IF(AND(MONTH(C485)&gt;=1,MONTH(C485)&lt;=3),1,IF(AND(MONTH(C485)&gt;=4,MONTH(C485)&lt;=6),2,IF(AND(MONTH(C485)&gt;=7,MONTH(C485)&lt;=9),3,4))))</f>
        <v>4</v>
      </c>
      <c r="D486" s="42"/>
      <c r="E486" s="24" t="s">
        <v>40</v>
      </c>
      <c r="F486" s="25"/>
    </row>
    <row r="487" spans="1:6" ht="15" thickBot="1" x14ac:dyDescent="0.35">
      <c r="A487" s="19"/>
      <c r="B487" s="19"/>
      <c r="C487" s="19"/>
      <c r="D487" s="19"/>
      <c r="E487" s="19"/>
      <c r="F487" s="19"/>
    </row>
    <row r="488" spans="1:6" ht="15" thickBot="1" x14ac:dyDescent="0.35">
      <c r="A488" s="27" t="s">
        <v>41</v>
      </c>
      <c r="B488" s="27" t="s">
        <v>42</v>
      </c>
      <c r="C488" s="27" t="s">
        <v>43</v>
      </c>
      <c r="D488" s="27" t="s">
        <v>44</v>
      </c>
      <c r="E488" s="27" t="s">
        <v>45</v>
      </c>
      <c r="F488" s="27" t="s">
        <v>46</v>
      </c>
    </row>
    <row r="489" spans="1:6" x14ac:dyDescent="0.3">
      <c r="A489" s="28" t="s">
        <v>175</v>
      </c>
      <c r="B489" s="29" t="str">
        <f ca="1">IFERROR(INDEX(UNSPSCDes,MATCH(INDIRECT(ADDRESS(ROW(),COLUMN()-1,4)),UNSPSCCode,0)),IF(INDIRECT(ADDRESS(ROW(),COLUMN()-1,4))="31211507","Pinturas en aerosol",""))</f>
        <v>Pinturas en aerosol</v>
      </c>
      <c r="C489" s="30" t="str">
        <f>IFERROR(VLOOKUP("CAJ",'[1]Informacion '!P:Q,2,FALSE),"")</f>
        <v>Caja</v>
      </c>
      <c r="D489" s="28">
        <v>150</v>
      </c>
      <c r="E489" s="31">
        <v>2250</v>
      </c>
      <c r="F489" s="32">
        <f ca="1">INDIRECT(ADDRESS(ROW(),COLUMN()-2,4))*INDIRECT(ADDRESS(ROW(),COLUMN()-1,4))</f>
        <v>337500</v>
      </c>
    </row>
    <row r="490" spans="1:6" x14ac:dyDescent="0.3">
      <c r="A490" s="28" t="s">
        <v>171</v>
      </c>
      <c r="B490" s="29" t="str">
        <f ca="1">IFERROR(INDEX(UNSPSCDes,MATCH(INDIRECT(ADDRESS(ROW(),COLUMN()-1,4)),UNSPSCCode,0)),IF(INDIRECT(ADDRESS(ROW(),COLUMN()-1,4))="31211508","Pinturas acrílicas",""))</f>
        <v>Pinturas acrílicas</v>
      </c>
      <c r="C490" s="30" t="str">
        <f>IFERROR(VLOOKUP("PAQ",'[1]Informacion '!P:Q,2,FALSE),"")</f>
        <v>Paquete</v>
      </c>
      <c r="D490" s="28">
        <v>10</v>
      </c>
      <c r="E490" s="31">
        <v>16000</v>
      </c>
      <c r="F490" s="32">
        <f ca="1">INDIRECT(ADDRESS(ROW(),COLUMN()-2,4))*INDIRECT(ADDRESS(ROW(),COLUMN()-1,4))</f>
        <v>160000</v>
      </c>
    </row>
    <row r="491" spans="1:6" x14ac:dyDescent="0.3">
      <c r="A491" s="28" t="s">
        <v>172</v>
      </c>
      <c r="B491" s="29" t="str">
        <f ca="1">IFERROR(INDEX(UNSPSCDes,MATCH(INDIRECT(ADDRESS(ROW(),COLUMN()-1,4)),UNSPSCCode,0)),IF(INDIRECT(ADDRESS(ROW(),COLUMN()-1,4))="31211604","Extensor o retardador de pintura",""))</f>
        <v>Extensor o retardador de pintura</v>
      </c>
      <c r="C491" s="30" t="str">
        <f>IFERROR(VLOOKUP("UD",'[1]Informacion '!P:Q,2,FALSE),"")</f>
        <v>Unidad</v>
      </c>
      <c r="D491" s="28">
        <v>5</v>
      </c>
      <c r="E491" s="31">
        <v>650</v>
      </c>
      <c r="F491" s="32">
        <f ca="1">INDIRECT(ADDRESS(ROW(),COLUMN()-2,4))*INDIRECT(ADDRESS(ROW(),COLUMN()-1,4))</f>
        <v>3250</v>
      </c>
    </row>
    <row r="492" spans="1:6" x14ac:dyDescent="0.3">
      <c r="A492" s="28" t="s">
        <v>173</v>
      </c>
      <c r="B492" s="29" t="str">
        <f ca="1">IFERROR(INDEX(UNSPSCDes,MATCH(INDIRECT(ADDRESS(ROW(),COLUMN()-1,4)),UNSPSCCode,0)),IF(INDIRECT(ADDRESS(ROW(),COLUMN()-1,4))="31211801","Removedores de pintura o barniz",""))</f>
        <v>Removedores de pintura o barniz</v>
      </c>
      <c r="C492" s="30" t="str">
        <f>IFERROR(VLOOKUP("UD",'[1]Informacion '!P:Q,2,FALSE),"")</f>
        <v>Unidad</v>
      </c>
      <c r="D492" s="28">
        <v>5</v>
      </c>
      <c r="E492" s="31">
        <v>550</v>
      </c>
      <c r="F492" s="32">
        <f ca="1">INDIRECT(ADDRESS(ROW(),COLUMN()-2,4))*INDIRECT(ADDRESS(ROW(),COLUMN()-1,4))</f>
        <v>2750</v>
      </c>
    </row>
    <row r="493" spans="1:6" x14ac:dyDescent="0.3">
      <c r="A493" s="19"/>
      <c r="B493" s="19"/>
      <c r="C493" s="19"/>
      <c r="D493" s="19"/>
      <c r="E493" s="33" t="s">
        <v>48</v>
      </c>
      <c r="F493" s="34">
        <f ca="1">SUM(Table40[MONTO TOTAL ESTIMADO])</f>
        <v>503500</v>
      </c>
    </row>
    <row r="494" spans="1:6" ht="15" thickBot="1" x14ac:dyDescent="0.35">
      <c r="A494" s="19"/>
      <c r="B494" s="19"/>
      <c r="C494" s="19"/>
      <c r="D494" s="19"/>
      <c r="E494" s="19"/>
      <c r="F494" s="19"/>
    </row>
    <row r="495" spans="1:6" ht="21" thickBot="1" x14ac:dyDescent="0.35">
      <c r="A495" s="20" t="s">
        <v>19</v>
      </c>
      <c r="B495" s="20" t="s">
        <v>20</v>
      </c>
      <c r="C495" s="20" t="s">
        <v>21</v>
      </c>
      <c r="D495" s="20" t="s">
        <v>22</v>
      </c>
      <c r="E495" s="20" t="s">
        <v>23</v>
      </c>
      <c r="F495" s="20" t="s">
        <v>24</v>
      </c>
    </row>
    <row r="496" spans="1:6" ht="15" thickBot="1" x14ac:dyDescent="0.35">
      <c r="A496" s="21" t="s">
        <v>176</v>
      </c>
      <c r="B496" s="21" t="s">
        <v>177</v>
      </c>
      <c r="C496" s="21" t="s">
        <v>60</v>
      </c>
      <c r="D496" s="21" t="s">
        <v>94</v>
      </c>
      <c r="E496" s="21" t="s">
        <v>54</v>
      </c>
      <c r="F496" s="21" t="s">
        <v>18</v>
      </c>
    </row>
    <row r="497" spans="1:6" ht="15" thickBot="1" x14ac:dyDescent="0.35">
      <c r="A497" s="41" t="s">
        <v>30</v>
      </c>
      <c r="B497" s="22" t="s">
        <v>31</v>
      </c>
      <c r="C497" s="23">
        <v>45092</v>
      </c>
      <c r="D497" s="41" t="s">
        <v>32</v>
      </c>
      <c r="E497" s="24" t="s">
        <v>33</v>
      </c>
      <c r="F497" s="25" t="s">
        <v>34</v>
      </c>
    </row>
    <row r="498" spans="1:6" ht="15" thickBot="1" x14ac:dyDescent="0.35">
      <c r="A498" s="42"/>
      <c r="B498" s="22" t="s">
        <v>35</v>
      </c>
      <c r="C498" s="26">
        <f>IF(C497="","",IF(AND(MONTH(C497)&gt;=1,MONTH(C497)&lt;=3),1,IF(AND(MONTH(C497)&gt;=4,MONTH(C497)&lt;=6),2,IF(AND(MONTH(C497)&gt;=7,MONTH(C497)&lt;=9),3,4))))</f>
        <v>2</v>
      </c>
      <c r="D498" s="42"/>
      <c r="E498" s="24" t="s">
        <v>36</v>
      </c>
      <c r="F498" s="25" t="s">
        <v>37</v>
      </c>
    </row>
    <row r="499" spans="1:6" ht="15" thickBot="1" x14ac:dyDescent="0.35">
      <c r="A499" s="42"/>
      <c r="B499" s="22" t="s">
        <v>38</v>
      </c>
      <c r="C499" s="23">
        <v>45122</v>
      </c>
      <c r="D499" s="42"/>
      <c r="E499" s="24" t="s">
        <v>39</v>
      </c>
      <c r="F499" s="25" t="s">
        <v>37</v>
      </c>
    </row>
    <row r="500" spans="1:6" ht="15" thickBot="1" x14ac:dyDescent="0.35">
      <c r="A500" s="42"/>
      <c r="B500" s="22" t="s">
        <v>35</v>
      </c>
      <c r="C500" s="26">
        <f>IF(C499="","",IF(AND(MONTH(C499)&gt;=1,MONTH(C499)&lt;=3),1,IF(AND(MONTH(C499)&gt;=4,MONTH(C499)&lt;=6),2,IF(AND(MONTH(C499)&gt;=7,MONTH(C499)&lt;=9),3,4))))</f>
        <v>3</v>
      </c>
      <c r="D500" s="42"/>
      <c r="E500" s="24" t="s">
        <v>40</v>
      </c>
      <c r="F500" s="25"/>
    </row>
    <row r="501" spans="1:6" ht="15" thickBot="1" x14ac:dyDescent="0.35">
      <c r="A501" s="19"/>
      <c r="B501" s="19"/>
      <c r="C501" s="19"/>
      <c r="D501" s="19"/>
      <c r="E501" s="19"/>
      <c r="F501" s="19"/>
    </row>
    <row r="502" spans="1:6" ht="15" thickBot="1" x14ac:dyDescent="0.35">
      <c r="A502" s="27" t="s">
        <v>41</v>
      </c>
      <c r="B502" s="27" t="s">
        <v>42</v>
      </c>
      <c r="C502" s="27" t="s">
        <v>43</v>
      </c>
      <c r="D502" s="27" t="s">
        <v>44</v>
      </c>
      <c r="E502" s="27" t="s">
        <v>45</v>
      </c>
      <c r="F502" s="27" t="s">
        <v>46</v>
      </c>
    </row>
    <row r="503" spans="1:6" x14ac:dyDescent="0.3">
      <c r="A503" s="28" t="s">
        <v>178</v>
      </c>
      <c r="B503" s="29" t="str">
        <f ca="1">IFERROR(INDEX(UNSPSCDes,MATCH(INDIRECT(ADDRESS(ROW(),COLUMN()-1,4)),UNSPSCCode,0)),IF(INDIRECT(ADDRESS(ROW(),COLUMN()-1,4))="51102710","Antisépticos basados en alcohol o acetona",""))</f>
        <v>Antisépticos basados en alcohol o acetona</v>
      </c>
      <c r="C503" s="30" t="str">
        <f>IFERROR(VLOOKUP("GAL",'[1]Informacion '!P:Q,2,FALSE),"")</f>
        <v>Galón</v>
      </c>
      <c r="D503" s="28">
        <v>60</v>
      </c>
      <c r="E503" s="31">
        <v>770</v>
      </c>
      <c r="F503" s="32">
        <f ca="1">INDIRECT(ADDRESS(ROW(),COLUMN()-2,4))*INDIRECT(ADDRESS(ROW(),COLUMN()-1,4))</f>
        <v>46200</v>
      </c>
    </row>
    <row r="504" spans="1:6" x14ac:dyDescent="0.3">
      <c r="A504" s="19"/>
      <c r="B504" s="19"/>
      <c r="C504" s="19"/>
      <c r="D504" s="19"/>
      <c r="E504" s="33" t="s">
        <v>48</v>
      </c>
      <c r="F504" s="34">
        <f ca="1">SUM(Table41[MONTO TOTAL ESTIMADO])</f>
        <v>46200</v>
      </c>
    </row>
    <row r="505" spans="1:6" ht="15" thickBot="1" x14ac:dyDescent="0.35">
      <c r="A505" s="19"/>
      <c r="B505" s="19"/>
      <c r="C505" s="19"/>
      <c r="D505" s="19"/>
      <c r="E505" s="19"/>
      <c r="F505" s="19"/>
    </row>
    <row r="506" spans="1:6" ht="21" thickBot="1" x14ac:dyDescent="0.35">
      <c r="A506" s="20" t="s">
        <v>19</v>
      </c>
      <c r="B506" s="20" t="s">
        <v>20</v>
      </c>
      <c r="C506" s="20" t="s">
        <v>21</v>
      </c>
      <c r="D506" s="20" t="s">
        <v>22</v>
      </c>
      <c r="E506" s="20" t="s">
        <v>23</v>
      </c>
      <c r="F506" s="20" t="s">
        <v>24</v>
      </c>
    </row>
    <row r="507" spans="1:6" ht="15" thickBot="1" x14ac:dyDescent="0.35">
      <c r="A507" s="21" t="s">
        <v>179</v>
      </c>
      <c r="B507" s="21" t="s">
        <v>180</v>
      </c>
      <c r="C507" s="21" t="s">
        <v>60</v>
      </c>
      <c r="D507" s="21" t="s">
        <v>28</v>
      </c>
      <c r="E507" s="21" t="s">
        <v>54</v>
      </c>
      <c r="F507" s="21" t="s">
        <v>18</v>
      </c>
    </row>
    <row r="508" spans="1:6" ht="15" thickBot="1" x14ac:dyDescent="0.35">
      <c r="A508" s="41" t="s">
        <v>30</v>
      </c>
      <c r="B508" s="22" t="s">
        <v>31</v>
      </c>
      <c r="C508" s="23">
        <v>44972</v>
      </c>
      <c r="D508" s="41" t="s">
        <v>32</v>
      </c>
      <c r="E508" s="24" t="s">
        <v>33</v>
      </c>
      <c r="F508" s="25" t="s">
        <v>34</v>
      </c>
    </row>
    <row r="509" spans="1:6" ht="15" thickBot="1" x14ac:dyDescent="0.35">
      <c r="A509" s="42"/>
      <c r="B509" s="22" t="s">
        <v>35</v>
      </c>
      <c r="C509" s="26">
        <f>IF(C508="","",IF(AND(MONTH(C508)&gt;=1,MONTH(C508)&lt;=3),1,IF(AND(MONTH(C508)&gt;=4,MONTH(C508)&lt;=6),2,IF(AND(MONTH(C508)&gt;=7,MONTH(C508)&lt;=9),3,4))))</f>
        <v>1</v>
      </c>
      <c r="D509" s="42"/>
      <c r="E509" s="24" t="s">
        <v>36</v>
      </c>
      <c r="F509" s="25" t="s">
        <v>37</v>
      </c>
    </row>
    <row r="510" spans="1:6" ht="15" thickBot="1" x14ac:dyDescent="0.35">
      <c r="A510" s="42"/>
      <c r="B510" s="22" t="s">
        <v>38</v>
      </c>
      <c r="C510" s="23">
        <v>45000</v>
      </c>
      <c r="D510" s="42"/>
      <c r="E510" s="24" t="s">
        <v>39</v>
      </c>
      <c r="F510" s="25" t="s">
        <v>37</v>
      </c>
    </row>
    <row r="511" spans="1:6" ht="15" thickBot="1" x14ac:dyDescent="0.35">
      <c r="A511" s="42"/>
      <c r="B511" s="22" t="s">
        <v>35</v>
      </c>
      <c r="C511" s="26">
        <f>IF(C510="","",IF(AND(MONTH(C510)&gt;=1,MONTH(C510)&lt;=3),1,IF(AND(MONTH(C510)&gt;=4,MONTH(C510)&lt;=6),2,IF(AND(MONTH(C510)&gt;=7,MONTH(C510)&lt;=9),3,4))))</f>
        <v>1</v>
      </c>
      <c r="D511" s="42"/>
      <c r="E511" s="24" t="s">
        <v>40</v>
      </c>
      <c r="F511" s="25"/>
    </row>
    <row r="512" spans="1:6" ht="15" thickBot="1" x14ac:dyDescent="0.35">
      <c r="A512" s="19"/>
      <c r="B512" s="19"/>
      <c r="C512" s="19"/>
      <c r="D512" s="19"/>
      <c r="E512" s="19"/>
      <c r="F512" s="19"/>
    </row>
    <row r="513" spans="1:6" ht="15" thickBot="1" x14ac:dyDescent="0.35">
      <c r="A513" s="27" t="s">
        <v>41</v>
      </c>
      <c r="B513" s="27" t="s">
        <v>42</v>
      </c>
      <c r="C513" s="27" t="s">
        <v>43</v>
      </c>
      <c r="D513" s="27" t="s">
        <v>44</v>
      </c>
      <c r="E513" s="27" t="s">
        <v>45</v>
      </c>
      <c r="F513" s="27" t="s">
        <v>46</v>
      </c>
    </row>
    <row r="514" spans="1:6" x14ac:dyDescent="0.3">
      <c r="A514" s="28" t="s">
        <v>181</v>
      </c>
      <c r="B514" s="29" t="str">
        <f ca="1">IFERROR(INDEX(UNSPSCDes,MATCH(INDIRECT(ADDRESS(ROW(),COLUMN()-1,4)),UNSPSCCode,0)),IF(INDIRECT(ADDRESS(ROW(),COLUMN()-1,4))="53131626","Desinfectante de manos",""))</f>
        <v>Desinfectante de manos</v>
      </c>
      <c r="C514" s="30" t="str">
        <f>IFERROR(VLOOKUP("UD",'[1]Informacion '!P:Q,2,FALSE),"")</f>
        <v>Unidad</v>
      </c>
      <c r="D514" s="28">
        <v>36</v>
      </c>
      <c r="E514" s="31">
        <v>160</v>
      </c>
      <c r="F514" s="32">
        <f t="shared" ref="F514:F560" ca="1" si="5">INDIRECT(ADDRESS(ROW(),COLUMN()-2,4))*INDIRECT(ADDRESS(ROW(),COLUMN()-1,4))</f>
        <v>5760</v>
      </c>
    </row>
    <row r="515" spans="1:6" x14ac:dyDescent="0.3">
      <c r="A515" s="28" t="s">
        <v>182</v>
      </c>
      <c r="B515" s="29" t="str">
        <f ca="1">IFERROR(INDEX(UNSPSCDes,MATCH(INDIRECT(ADDRESS(ROW(),COLUMN()-1,4)),UNSPSCCode,0)),IF(INDIRECT(ADDRESS(ROW(),COLUMN()-1,4))="53131608","Jabones",""))</f>
        <v>Jabones</v>
      </c>
      <c r="C515" s="30" t="str">
        <f>IFERROR(VLOOKUP("GAL",'[1]Informacion '!P:Q,2,FALSE),"")</f>
        <v>Galón</v>
      </c>
      <c r="D515" s="28">
        <v>12</v>
      </c>
      <c r="E515" s="31">
        <v>400</v>
      </c>
      <c r="F515" s="32">
        <f t="shared" ca="1" si="5"/>
        <v>4800</v>
      </c>
    </row>
    <row r="516" spans="1:6" x14ac:dyDescent="0.3">
      <c r="A516" s="28" t="s">
        <v>183</v>
      </c>
      <c r="B516" s="29" t="str">
        <f ca="1">IFERROR(INDEX(UNSPSCDes,MATCH(INDIRECT(ADDRESS(ROW(),COLUMN()-1,4)),UNSPSCCode,0)),IF(INDIRECT(ADDRESS(ROW(),COLUMN()-1,4))="47131812","Refrescador de aire",""))</f>
        <v>Refrescador de aire</v>
      </c>
      <c r="C516" s="30" t="str">
        <f>IFERROR(VLOOKUP("UD",'[1]Informacion '!P:Q,2,FALSE),"")</f>
        <v>Unidad</v>
      </c>
      <c r="D516" s="28">
        <v>200</v>
      </c>
      <c r="E516" s="31">
        <v>150</v>
      </c>
      <c r="F516" s="32">
        <f t="shared" ca="1" si="5"/>
        <v>30000</v>
      </c>
    </row>
    <row r="517" spans="1:6" x14ac:dyDescent="0.3">
      <c r="A517" s="28" t="s">
        <v>184</v>
      </c>
      <c r="B517" s="29" t="str">
        <f ca="1">IFERROR(INDEX(UNSPSCDes,MATCH(INDIRECT(ADDRESS(ROW(),COLUMN()-1,4)),UNSPSCCode,0)),IF(INDIRECT(ADDRESS(ROW(),COLUMN()-1,4))="47131807","Blanqueadores",""))</f>
        <v>Blanqueadores</v>
      </c>
      <c r="C517" s="30" t="str">
        <f>IFERROR(VLOOKUP("GAL",'[1]Informacion '!P:Q,2,FALSE),"")</f>
        <v>Galón</v>
      </c>
      <c r="D517" s="28">
        <v>20</v>
      </c>
      <c r="E517" s="31">
        <v>95</v>
      </c>
      <c r="F517" s="32">
        <f t="shared" ca="1" si="5"/>
        <v>1900</v>
      </c>
    </row>
    <row r="518" spans="1:6" x14ac:dyDescent="0.3">
      <c r="A518" s="28" t="s">
        <v>185</v>
      </c>
      <c r="B518" s="29" t="str">
        <f ca="1">IFERROR(INDEX(UNSPSCDes,MATCH(INDIRECT(ADDRESS(ROW(),COLUMN()-1,4)),UNSPSCCode,0)),IF(INDIRECT(ADDRESS(ROW(),COLUMN()-1,4))="47131810","Productos para el lavaplatos",""))</f>
        <v>Productos para el lavaplatos</v>
      </c>
      <c r="C518" s="30" t="str">
        <f>IFERROR(VLOOKUP("GAL",'[1]Informacion '!P:Q,2,FALSE),"")</f>
        <v>Galón</v>
      </c>
      <c r="D518" s="28">
        <v>15</v>
      </c>
      <c r="E518" s="31">
        <v>110</v>
      </c>
      <c r="F518" s="32">
        <f t="shared" ca="1" si="5"/>
        <v>1650</v>
      </c>
    </row>
    <row r="519" spans="1:6" x14ac:dyDescent="0.3">
      <c r="A519" s="28" t="s">
        <v>186</v>
      </c>
      <c r="B519" s="29" t="str">
        <f ca="1">IFERROR(INDEX(UNSPSCDes,MATCH(INDIRECT(ADDRESS(ROW(),COLUMN()-1,4)),UNSPSCCode,0)),IF(INDIRECT(ADDRESS(ROW(),COLUMN()-1,4))="47131603","Esponjas",""))</f>
        <v>Esponjas</v>
      </c>
      <c r="C519" s="30" t="str">
        <f>IFERROR(VLOOKUP("UD",'[1]Informacion '!P:Q,2,FALSE),"")</f>
        <v>Unidad</v>
      </c>
      <c r="D519" s="28">
        <v>50</v>
      </c>
      <c r="E519" s="31">
        <v>35</v>
      </c>
      <c r="F519" s="32">
        <f t="shared" ca="1" si="5"/>
        <v>1750</v>
      </c>
    </row>
    <row r="520" spans="1:6" x14ac:dyDescent="0.3">
      <c r="A520" s="28" t="s">
        <v>187</v>
      </c>
      <c r="B520" s="29" t="str">
        <f ca="1">IFERROR(INDEX(UNSPSCDes,MATCH(INDIRECT(ADDRESS(ROW(),COLUMN()-1,4)),UNSPSCCode,0)),IF(INDIRECT(ADDRESS(ROW(),COLUMN()-1,4))="47131604","Escobas",""))</f>
        <v>Escobas</v>
      </c>
      <c r="C520" s="30" t="str">
        <f>IFERROR(VLOOKUP("UD",'[1]Informacion '!P:Q,2,FALSE),"")</f>
        <v>Unidad</v>
      </c>
      <c r="D520" s="28">
        <v>10</v>
      </c>
      <c r="E520" s="31">
        <v>74</v>
      </c>
      <c r="F520" s="32">
        <f t="shared" ca="1" si="5"/>
        <v>740</v>
      </c>
    </row>
    <row r="521" spans="1:6" x14ac:dyDescent="0.3">
      <c r="A521" s="28" t="s">
        <v>188</v>
      </c>
      <c r="B521" s="29" t="str">
        <f ca="1">IFERROR(INDEX(UNSPSCDes,MATCH(INDIRECT(ADDRESS(ROW(),COLUMN()-1,4)),UNSPSCCode,0)),IF(INDIRECT(ADDRESS(ROW(),COLUMN()-1,4))="47131501","Trapos",""))</f>
        <v>Trapos</v>
      </c>
      <c r="C521" s="30" t="str">
        <f>IFERROR(VLOOKUP("PAQ",'[1]Informacion '!P:Q,2,FALSE),"")</f>
        <v>Paquete</v>
      </c>
      <c r="D521" s="28">
        <v>20</v>
      </c>
      <c r="E521" s="31">
        <v>108</v>
      </c>
      <c r="F521" s="32">
        <f t="shared" ca="1" si="5"/>
        <v>2160</v>
      </c>
    </row>
    <row r="522" spans="1:6" x14ac:dyDescent="0.3">
      <c r="A522" s="28" t="s">
        <v>189</v>
      </c>
      <c r="B522" s="29" t="str">
        <f ca="1">IFERROR(INDEX(UNSPSCDes,MATCH(INDIRECT(ADDRESS(ROW(),COLUMN()-1,4)),UNSPSCCode,0)),IF(INDIRECT(ADDRESS(ROW(),COLUMN()-1,4))="47131502","Pañitos o toallas para limpiar",""))</f>
        <v>Pañitos o toallas para limpiar</v>
      </c>
      <c r="C522" s="30" t="str">
        <f>IFERROR(VLOOKUP("PAQ",'[1]Informacion '!P:Q,2,FALSE),"")</f>
        <v>Paquete</v>
      </c>
      <c r="D522" s="28">
        <v>30</v>
      </c>
      <c r="E522" s="31">
        <v>75</v>
      </c>
      <c r="F522" s="32">
        <f t="shared" ca="1" si="5"/>
        <v>2250</v>
      </c>
    </row>
    <row r="523" spans="1:6" x14ac:dyDescent="0.3">
      <c r="A523" s="28" t="s">
        <v>190</v>
      </c>
      <c r="B523" s="29" t="str">
        <f ca="1">IFERROR(INDEX(UNSPSCDes,MATCH(INDIRECT(ADDRESS(ROW(),COLUMN()-1,4)),UNSPSCCode,0)),IF(INDIRECT(ADDRESS(ROW(),COLUMN()-1,4))="47131611","Recogedor de basura",""))</f>
        <v>Recogedor de basura</v>
      </c>
      <c r="C523" s="30" t="str">
        <f>IFERROR(VLOOKUP("UD",'[1]Informacion '!P:Q,2,FALSE),"")</f>
        <v>Unidad</v>
      </c>
      <c r="D523" s="28">
        <v>6</v>
      </c>
      <c r="E523" s="31">
        <v>90</v>
      </c>
      <c r="F523" s="32">
        <f t="shared" ca="1" si="5"/>
        <v>540</v>
      </c>
    </row>
    <row r="524" spans="1:6" x14ac:dyDescent="0.3">
      <c r="A524" s="28" t="s">
        <v>191</v>
      </c>
      <c r="B524" s="29" t="str">
        <f ca="1">IFERROR(INDEX(UNSPSCDes,MATCH(INDIRECT(ADDRESS(ROW(),COLUMN()-1,4)),UNSPSCCode,0)),IF(INDIRECT(ADDRESS(ROW(),COLUMN()-1,4))="47131602","Almohadillas para restregar",""))</f>
        <v>Almohadillas para restregar</v>
      </c>
      <c r="C524" s="30" t="str">
        <f>IFERROR(VLOOKUP("UD",'[1]Informacion '!P:Q,2,FALSE),"")</f>
        <v>Unidad</v>
      </c>
      <c r="D524" s="28">
        <v>40</v>
      </c>
      <c r="E524" s="31">
        <v>20</v>
      </c>
      <c r="F524" s="32">
        <f t="shared" ca="1" si="5"/>
        <v>800</v>
      </c>
    </row>
    <row r="525" spans="1:6" x14ac:dyDescent="0.3">
      <c r="A525" s="28" t="s">
        <v>192</v>
      </c>
      <c r="B525" s="29" t="str">
        <f ca="1">IFERROR(INDEX(UNSPSCDes,MATCH(INDIRECT(ADDRESS(ROW(),COLUMN()-1,4)),UNSPSCCode,0)),IF(INDIRECT(ADDRESS(ROW(),COLUMN()-1,4))="47131605","Cepillos de limpieza",""))</f>
        <v>Cepillos de limpieza</v>
      </c>
      <c r="C525" s="30" t="str">
        <f>IFERROR(VLOOKUP("UD",'[1]Informacion '!P:Q,2,FALSE),"")</f>
        <v>Unidad</v>
      </c>
      <c r="D525" s="28">
        <v>8</v>
      </c>
      <c r="E525" s="31">
        <v>75</v>
      </c>
      <c r="F525" s="32">
        <f t="shared" ca="1" si="5"/>
        <v>600</v>
      </c>
    </row>
    <row r="526" spans="1:6" x14ac:dyDescent="0.3">
      <c r="A526" s="28" t="s">
        <v>193</v>
      </c>
      <c r="B526" s="29" t="str">
        <f ca="1">IFERROR(INDEX(UNSPSCDes,MATCH(INDIRECT(ADDRESS(ROW(),COLUMN()-1,4)),UNSPSCCode,0)),IF(INDIRECT(ADDRESS(ROW(),COLUMN()-1,4))="47131829","Limpiadores de baños",""))</f>
        <v>Limpiadores de baños</v>
      </c>
      <c r="C526" s="30" t="str">
        <f>IFERROR(VLOOKUP("GAL",'[1]Informacion '!P:Q,2,FALSE),"")</f>
        <v>Galón</v>
      </c>
      <c r="D526" s="28">
        <v>10</v>
      </c>
      <c r="E526" s="31">
        <v>60</v>
      </c>
      <c r="F526" s="32">
        <f t="shared" ca="1" si="5"/>
        <v>600</v>
      </c>
    </row>
    <row r="527" spans="1:6" x14ac:dyDescent="0.3">
      <c r="A527" s="28" t="s">
        <v>194</v>
      </c>
      <c r="B527" s="29" t="str">
        <f ca="1">IFERROR(INDEX(UNSPSCDes,MATCH(INDIRECT(ADDRESS(ROW(),COLUMN()-1,4)),UNSPSCCode,0)),IF(INDIRECT(ADDRESS(ROW(),COLUMN()-1,4))="14111703","Toallas de papel",""))</f>
        <v>Toallas de papel</v>
      </c>
      <c r="C527" s="30" t="str">
        <f>IFERROR(VLOOKUP("PAQ",'[1]Informacion '!P:Q,2,FALSE),"")</f>
        <v>Paquete</v>
      </c>
      <c r="D527" s="28">
        <v>54</v>
      </c>
      <c r="E527" s="31">
        <v>350</v>
      </c>
      <c r="F527" s="32">
        <f t="shared" ca="1" si="5"/>
        <v>18900</v>
      </c>
    </row>
    <row r="528" spans="1:6" x14ac:dyDescent="0.3">
      <c r="A528" s="28" t="s">
        <v>195</v>
      </c>
      <c r="B528" s="29" t="str">
        <f ca="1">IFERROR(INDEX(UNSPSCDes,MATCH(INDIRECT(ADDRESS(ROW(),COLUMN()-1,4)),UNSPSCCode,0)),IF(INDIRECT(ADDRESS(ROW(),COLUMN()-1,4))="14111705","Servilletas de papel",""))</f>
        <v>Servilletas de papel</v>
      </c>
      <c r="C528" s="30" t="str">
        <f>IFERROR(VLOOKUP("PAQ",'[1]Informacion '!P:Q,2,FALSE),"")</f>
        <v>Paquete</v>
      </c>
      <c r="D528" s="28">
        <v>48</v>
      </c>
      <c r="E528" s="31">
        <v>54</v>
      </c>
      <c r="F528" s="32">
        <f t="shared" ca="1" si="5"/>
        <v>2592</v>
      </c>
    </row>
    <row r="529" spans="1:6" x14ac:dyDescent="0.3">
      <c r="A529" s="28" t="s">
        <v>196</v>
      </c>
      <c r="B529" s="29" t="str">
        <f ca="1">IFERROR(INDEX(UNSPSCDes,MATCH(INDIRECT(ADDRESS(ROW(),COLUMN()-1,4)),UNSPSCCode,0)),IF(INDIRECT(ADDRESS(ROW(),COLUMN()-1,4))="53131624","Paños limpiadores desechables",""))</f>
        <v>Paños limpiadores desechables</v>
      </c>
      <c r="C529" s="30" t="str">
        <f>IFERROR(VLOOKUP("PAQ",'[1]Informacion '!P:Q,2,FALSE),"")</f>
        <v>Paquete</v>
      </c>
      <c r="D529" s="28">
        <v>12</v>
      </c>
      <c r="E529" s="31">
        <v>140</v>
      </c>
      <c r="F529" s="32">
        <f t="shared" ca="1" si="5"/>
        <v>1680</v>
      </c>
    </row>
    <row r="530" spans="1:6" x14ac:dyDescent="0.3">
      <c r="A530" s="28" t="s">
        <v>197</v>
      </c>
      <c r="B530" s="29" t="str">
        <f ca="1">IFERROR(INDEX(UNSPSCDes,MATCH(INDIRECT(ADDRESS(ROW(),COLUMN()-1,4)),UNSPSCCode,0)),IF(INDIRECT(ADDRESS(ROW(),COLUMN()-1,4))="47131803","Desinfectantes para uso doméstico",""))</f>
        <v>Desinfectantes para uso doméstico</v>
      </c>
      <c r="C530" s="30" t="str">
        <f>IFERROR(VLOOKUP("GAL",'[1]Informacion '!P:Q,2,FALSE),"")</f>
        <v>Galón</v>
      </c>
      <c r="D530" s="28">
        <v>45</v>
      </c>
      <c r="E530" s="31">
        <v>575</v>
      </c>
      <c r="F530" s="32">
        <f t="shared" ca="1" si="5"/>
        <v>25875</v>
      </c>
    </row>
    <row r="531" spans="1:6" x14ac:dyDescent="0.3">
      <c r="A531" s="28" t="s">
        <v>198</v>
      </c>
      <c r="B531" s="29" t="str">
        <f ca="1">IFERROR(INDEX(UNSPSCDes,MATCH(INDIRECT(ADDRESS(ROW(),COLUMN()-1,4)),UNSPSCCode,0)),IF(INDIRECT(ADDRESS(ROW(),COLUMN()-1,4))="47131805","Limpiadores de propósito general",""))</f>
        <v>Limpiadores de propósito general</v>
      </c>
      <c r="C531" s="30" t="str">
        <f>IFERROR(VLOOKUP("UD",'[1]Informacion '!P:Q,2,FALSE),"")</f>
        <v>Unidad</v>
      </c>
      <c r="D531" s="28">
        <v>20</v>
      </c>
      <c r="E531" s="31">
        <v>110</v>
      </c>
      <c r="F531" s="32">
        <f t="shared" ca="1" si="5"/>
        <v>2200</v>
      </c>
    </row>
    <row r="532" spans="1:6" x14ac:dyDescent="0.3">
      <c r="A532" s="28" t="s">
        <v>199</v>
      </c>
      <c r="B532" s="29" t="str">
        <f ca="1">IFERROR(INDEX(UNSPSCDes,MATCH(INDIRECT(ADDRESS(ROW(),COLUMN()-1,4)),UNSPSCCode,0)),IF(INDIRECT(ADDRESS(ROW(),COLUMN()-1,4))="47121701","Bolsas de basura",""))</f>
        <v>Bolsas de basura</v>
      </c>
      <c r="C532" s="30" t="str">
        <f>IFERROR(VLOOKUP("PAQ",'[1]Informacion '!P:Q,2,FALSE),"")</f>
        <v>Paquete</v>
      </c>
      <c r="D532" s="28">
        <v>220</v>
      </c>
      <c r="E532" s="31">
        <v>50</v>
      </c>
      <c r="F532" s="32">
        <f t="shared" ca="1" si="5"/>
        <v>11000</v>
      </c>
    </row>
    <row r="533" spans="1:6" x14ac:dyDescent="0.3">
      <c r="A533" s="28" t="s">
        <v>199</v>
      </c>
      <c r="B533" s="29" t="str">
        <f ca="1">IFERROR(INDEX(UNSPSCDes,MATCH(INDIRECT(ADDRESS(ROW(),COLUMN()-1,4)),UNSPSCCode,0)),IF(INDIRECT(ADDRESS(ROW(),COLUMN()-1,4))="47121701","Bolsas de basura",""))</f>
        <v>Bolsas de basura</v>
      </c>
      <c r="C533" s="30" t="str">
        <f>IFERROR(VLOOKUP("PAQ",'[1]Informacion '!P:Q,2,FALSE),"")</f>
        <v>Paquete</v>
      </c>
      <c r="D533" s="28">
        <v>160</v>
      </c>
      <c r="E533" s="31">
        <v>50</v>
      </c>
      <c r="F533" s="32">
        <f t="shared" ca="1" si="5"/>
        <v>8000</v>
      </c>
    </row>
    <row r="534" spans="1:6" x14ac:dyDescent="0.3">
      <c r="A534" s="28" t="s">
        <v>199</v>
      </c>
      <c r="B534" s="29" t="str">
        <f ca="1">IFERROR(INDEX(UNSPSCDes,MATCH(INDIRECT(ADDRESS(ROW(),COLUMN()-1,4)),UNSPSCCode,0)),IF(INDIRECT(ADDRESS(ROW(),COLUMN()-1,4))="47121701","Bolsas de basura",""))</f>
        <v>Bolsas de basura</v>
      </c>
      <c r="C534" s="30" t="str">
        <f>IFERROR(VLOOKUP("PAQ",'[1]Informacion '!P:Q,2,FALSE),"")</f>
        <v>Paquete</v>
      </c>
      <c r="D534" s="28">
        <v>90</v>
      </c>
      <c r="E534" s="31">
        <v>50</v>
      </c>
      <c r="F534" s="32">
        <f t="shared" ca="1" si="5"/>
        <v>4500</v>
      </c>
    </row>
    <row r="535" spans="1:6" x14ac:dyDescent="0.3">
      <c r="A535" s="28" t="s">
        <v>200</v>
      </c>
      <c r="B535" s="29" t="str">
        <f ca="1">IFERROR(INDEX(UNSPSCDes,MATCH(INDIRECT(ADDRESS(ROW(),COLUMN()-1,4)),UNSPSCCode,0)),IF(INDIRECT(ADDRESS(ROW(),COLUMN()-1,4))="24111503","Bolsas plásticas",""))</f>
        <v>Bolsas plásticas</v>
      </c>
      <c r="C535" s="30" t="str">
        <f>IFERROR(VLOOKUP("PAQ",'[1]Informacion '!P:Q,2,FALSE),"")</f>
        <v>Paquete</v>
      </c>
      <c r="D535" s="28">
        <v>180</v>
      </c>
      <c r="E535" s="31">
        <v>80</v>
      </c>
      <c r="F535" s="32">
        <f t="shared" ca="1" si="5"/>
        <v>14400</v>
      </c>
    </row>
    <row r="536" spans="1:6" x14ac:dyDescent="0.3">
      <c r="A536" s="28" t="s">
        <v>189</v>
      </c>
      <c r="B536" s="29" t="str">
        <f ca="1">IFERROR(INDEX(UNSPSCDes,MATCH(INDIRECT(ADDRESS(ROW(),COLUMN()-1,4)),UNSPSCCode,0)),IF(INDIRECT(ADDRESS(ROW(),COLUMN()-1,4))="47131502","Pañitos o toallas para limpiar",""))</f>
        <v>Pañitos o toallas para limpiar</v>
      </c>
      <c r="C536" s="30" t="str">
        <f>IFERROR(VLOOKUP("PAQ",'[1]Informacion '!P:Q,2,FALSE),"")</f>
        <v>Paquete</v>
      </c>
      <c r="D536" s="28">
        <v>48</v>
      </c>
      <c r="E536" s="31">
        <v>200</v>
      </c>
      <c r="F536" s="32">
        <f t="shared" ca="1" si="5"/>
        <v>9600</v>
      </c>
    </row>
    <row r="537" spans="1:6" x14ac:dyDescent="0.3">
      <c r="A537" s="28" t="s">
        <v>201</v>
      </c>
      <c r="B537" s="29" t="str">
        <f ca="1">IFERROR(INDEX(UNSPSCDes,MATCH(INDIRECT(ADDRESS(ROW(),COLUMN()-1,4)),UNSPSCCode,0)),IF(INDIRECT(ADDRESS(ROW(),COLUMN()-1,4))="52151504","Tazas o vasos o tapas desechables para uso doméstico",""))</f>
        <v>Tazas o vasos o tapas desechables para uso doméstico</v>
      </c>
      <c r="C537" s="30" t="str">
        <f>IFERROR(VLOOKUP("PAQ",'[1]Informacion '!P:Q,2,FALSE),"")</f>
        <v>Paquete</v>
      </c>
      <c r="D537" s="28">
        <v>350</v>
      </c>
      <c r="E537" s="31">
        <v>59</v>
      </c>
      <c r="F537" s="32">
        <f t="shared" ca="1" si="5"/>
        <v>20650</v>
      </c>
    </row>
    <row r="538" spans="1:6" x14ac:dyDescent="0.3">
      <c r="A538" s="28" t="s">
        <v>201</v>
      </c>
      <c r="B538" s="29" t="str">
        <f ca="1">IFERROR(INDEX(UNSPSCDes,MATCH(INDIRECT(ADDRESS(ROW(),COLUMN()-1,4)),UNSPSCCode,0)),IF(INDIRECT(ADDRESS(ROW(),COLUMN()-1,4))="52151504","Tazas o vasos o tapas desechables para uso doméstico",""))</f>
        <v>Tazas o vasos o tapas desechables para uso doméstico</v>
      </c>
      <c r="C538" s="30" t="str">
        <f>IFERROR(VLOOKUP("PAQ",'[1]Informacion '!P:Q,2,FALSE),"")</f>
        <v>Paquete</v>
      </c>
      <c r="D538" s="28">
        <v>420</v>
      </c>
      <c r="E538" s="31">
        <v>55</v>
      </c>
      <c r="F538" s="32">
        <f t="shared" ca="1" si="5"/>
        <v>23100</v>
      </c>
    </row>
    <row r="539" spans="1:6" x14ac:dyDescent="0.3">
      <c r="A539" s="28" t="s">
        <v>202</v>
      </c>
      <c r="B539" s="29" t="str">
        <f ca="1">IFERROR(INDEX(UNSPSCDes,MATCH(INDIRECT(ADDRESS(ROW(),COLUMN()-1,4)),UNSPSCCode,0)),IF(INDIRECT(ADDRESS(ROW(),COLUMN()-1,4))="52151502","Platos desechables para uso doméstico",""))</f>
        <v>Platos desechables para uso doméstico</v>
      </c>
      <c r="C539" s="30" t="str">
        <f>IFERROR(VLOOKUP("PAQ",'[1]Informacion '!P:Q,2,FALSE),"")</f>
        <v>Paquete</v>
      </c>
      <c r="D539" s="28">
        <v>110</v>
      </c>
      <c r="E539" s="31">
        <v>33</v>
      </c>
      <c r="F539" s="32">
        <f t="shared" ca="1" si="5"/>
        <v>3630</v>
      </c>
    </row>
    <row r="540" spans="1:6" x14ac:dyDescent="0.3">
      <c r="A540" s="28" t="s">
        <v>202</v>
      </c>
      <c r="B540" s="29" t="str">
        <f ca="1">IFERROR(INDEX(UNSPSCDes,MATCH(INDIRECT(ADDRESS(ROW(),COLUMN()-1,4)),UNSPSCCode,0)),IF(INDIRECT(ADDRESS(ROW(),COLUMN()-1,4))="52151502","Platos desechables para uso doméstico",""))</f>
        <v>Platos desechables para uso doméstico</v>
      </c>
      <c r="C540" s="30" t="str">
        <f>IFERROR(VLOOKUP("PAQ",'[1]Informacion '!P:Q,2,FALSE),"")</f>
        <v>Paquete</v>
      </c>
      <c r="D540" s="28">
        <v>15</v>
      </c>
      <c r="E540" s="31">
        <v>54</v>
      </c>
      <c r="F540" s="32">
        <f t="shared" ca="1" si="5"/>
        <v>810</v>
      </c>
    </row>
    <row r="541" spans="1:6" x14ac:dyDescent="0.3">
      <c r="A541" s="28" t="s">
        <v>203</v>
      </c>
      <c r="B541" s="29" t="str">
        <f ca="1">IFERROR(INDEX(UNSPSCDes,MATCH(INDIRECT(ADDRESS(ROW(),COLUMN()-1,4)),UNSPSCCode,0)),IF(INDIRECT(ADDRESS(ROW(),COLUMN()-1,4))="52151503","Cubiertos desechables para uso doméstico",""))</f>
        <v>Cubiertos desechables para uso doméstico</v>
      </c>
      <c r="C541" s="30" t="str">
        <f>IFERROR(VLOOKUP("PAQ",'[1]Informacion '!P:Q,2,FALSE),"")</f>
        <v>Paquete</v>
      </c>
      <c r="D541" s="28">
        <v>160</v>
      </c>
      <c r="E541" s="31">
        <v>23.5</v>
      </c>
      <c r="F541" s="32">
        <f t="shared" ca="1" si="5"/>
        <v>3760</v>
      </c>
    </row>
    <row r="542" spans="1:6" x14ac:dyDescent="0.3">
      <c r="A542" s="28" t="s">
        <v>204</v>
      </c>
      <c r="B542" s="29" t="str">
        <f ca="1">IFERROR(INDEX(UNSPSCDes,MATCH(INDIRECT(ADDRESS(ROW(),COLUMN()-1,4)),UNSPSCCode,0)),IF(INDIRECT(ADDRESS(ROW(),COLUMN()-1,4))="39111517","Velas de Cera",""))</f>
        <v>Velas de Cera</v>
      </c>
      <c r="C542" s="30" t="str">
        <f>IFERROR(VLOOKUP("UD",'[1]Informacion '!P:Q,2,FALSE),"")</f>
        <v>Unidad</v>
      </c>
      <c r="D542" s="28">
        <v>18</v>
      </c>
      <c r="E542" s="31">
        <v>120</v>
      </c>
      <c r="F542" s="32">
        <f t="shared" ca="1" si="5"/>
        <v>2160</v>
      </c>
    </row>
    <row r="543" spans="1:6" x14ac:dyDescent="0.3">
      <c r="A543" s="28" t="s">
        <v>205</v>
      </c>
      <c r="B543" s="29" t="str">
        <f ca="1">IFERROR(INDEX(UNSPSCDes,MATCH(INDIRECT(ADDRESS(ROW(),COLUMN()-1,4)),UNSPSCCode,0)),IF(INDIRECT(ADDRESS(ROW(),COLUMN()-1,4))="47131801","Limpiadores de pisos",""))</f>
        <v>Limpiadores de pisos</v>
      </c>
      <c r="C543" s="30" t="str">
        <f>IFERROR(VLOOKUP("GAL",'[1]Informacion '!P:Q,2,FALSE),"")</f>
        <v>Galón</v>
      </c>
      <c r="D543" s="28">
        <v>9</v>
      </c>
      <c r="E543" s="31">
        <v>200</v>
      </c>
      <c r="F543" s="32">
        <f t="shared" ca="1" si="5"/>
        <v>1800</v>
      </c>
    </row>
    <row r="544" spans="1:6" x14ac:dyDescent="0.3">
      <c r="A544" s="28" t="s">
        <v>206</v>
      </c>
      <c r="B544" s="29" t="str">
        <f ca="1">IFERROR(INDEX(UNSPSCDes,MATCH(INDIRECT(ADDRESS(ROW(),COLUMN()-1,4)),UNSPSCCode,0)),IF(INDIRECT(ADDRESS(ROW(),COLUMN()-1,4))="14111704","Papel higiénico",""))</f>
        <v>Papel higiénico</v>
      </c>
      <c r="C544" s="30" t="str">
        <f>IFERROR(VLOOKUP("UD",'[1]Informacion '!P:Q,2,FALSE),"")</f>
        <v>Unidad</v>
      </c>
      <c r="D544" s="28">
        <v>800</v>
      </c>
      <c r="E544" s="31">
        <v>100</v>
      </c>
      <c r="F544" s="32">
        <f t="shared" ca="1" si="5"/>
        <v>80000</v>
      </c>
    </row>
    <row r="545" spans="1:6" x14ac:dyDescent="0.3">
      <c r="A545" s="28" t="s">
        <v>195</v>
      </c>
      <c r="B545" s="29" t="str">
        <f ca="1">IFERROR(INDEX(UNSPSCDes,MATCH(INDIRECT(ADDRESS(ROW(),COLUMN()-1,4)),UNSPSCCode,0)),IF(INDIRECT(ADDRESS(ROW(),COLUMN()-1,4))="14111705","Servilletas de papel",""))</f>
        <v>Servilletas de papel</v>
      </c>
      <c r="C545" s="30" t="str">
        <f>IFERROR(VLOOKUP("UD",'[1]Informacion '!P:Q,2,FALSE),"")</f>
        <v>Unidad</v>
      </c>
      <c r="D545" s="28">
        <v>800</v>
      </c>
      <c r="E545" s="31">
        <v>250</v>
      </c>
      <c r="F545" s="32">
        <f t="shared" ca="1" si="5"/>
        <v>200000</v>
      </c>
    </row>
    <row r="546" spans="1:6" x14ac:dyDescent="0.3">
      <c r="A546" s="28" t="s">
        <v>195</v>
      </c>
      <c r="B546" s="29" t="str">
        <f ca="1">IFERROR(INDEX(UNSPSCDes,MATCH(INDIRECT(ADDRESS(ROW(),COLUMN()-1,4)),UNSPSCCode,0)),IF(INDIRECT(ADDRESS(ROW(),COLUMN()-1,4))="14111705","Servilletas de papel",""))</f>
        <v>Servilletas de papel</v>
      </c>
      <c r="C546" s="30" t="str">
        <f>IFERROR(VLOOKUP("UD",'[1]Informacion '!P:Q,2,FALSE),"")</f>
        <v>Unidad</v>
      </c>
      <c r="D546" s="28">
        <v>80</v>
      </c>
      <c r="E546" s="31">
        <v>100</v>
      </c>
      <c r="F546" s="32">
        <f t="shared" ca="1" si="5"/>
        <v>8000</v>
      </c>
    </row>
    <row r="547" spans="1:6" x14ac:dyDescent="0.3">
      <c r="A547" s="28" t="s">
        <v>195</v>
      </c>
      <c r="B547" s="29" t="str">
        <f ca="1">IFERROR(INDEX(UNSPSCDes,MATCH(INDIRECT(ADDRESS(ROW(),COLUMN()-1,4)),UNSPSCCode,0)),IF(INDIRECT(ADDRESS(ROW(),COLUMN()-1,4))="14111705","Servilletas de papel",""))</f>
        <v>Servilletas de papel</v>
      </c>
      <c r="C547" s="30" t="str">
        <f>IFERROR(VLOOKUP("PAQ",'[1]Informacion '!P:Q,2,FALSE),"")</f>
        <v>Paquete</v>
      </c>
      <c r="D547" s="28">
        <v>110</v>
      </c>
      <c r="E547" s="31">
        <v>150</v>
      </c>
      <c r="F547" s="32">
        <f t="shared" ca="1" si="5"/>
        <v>16500</v>
      </c>
    </row>
    <row r="548" spans="1:6" x14ac:dyDescent="0.3">
      <c r="A548" s="28" t="s">
        <v>195</v>
      </c>
      <c r="B548" s="29" t="str">
        <f ca="1">IFERROR(INDEX(UNSPSCDes,MATCH(INDIRECT(ADDRESS(ROW(),COLUMN()-1,4)),UNSPSCCode,0)),IF(INDIRECT(ADDRESS(ROW(),COLUMN()-1,4))="14111705","Servilletas de papel",""))</f>
        <v>Servilletas de papel</v>
      </c>
      <c r="C548" s="30" t="str">
        <f>IFERROR(VLOOKUP("UD",'[1]Informacion '!P:Q,2,FALSE),"")</f>
        <v>Unidad</v>
      </c>
      <c r="D548" s="28">
        <v>150</v>
      </c>
      <c r="E548" s="31">
        <v>60</v>
      </c>
      <c r="F548" s="32">
        <f t="shared" ca="1" si="5"/>
        <v>9000</v>
      </c>
    </row>
    <row r="549" spans="1:6" x14ac:dyDescent="0.3">
      <c r="A549" s="28" t="s">
        <v>207</v>
      </c>
      <c r="B549" s="29" t="str">
        <f ca="1">IFERROR(INDEX(UNSPSCDes,MATCH(INDIRECT(ADDRESS(ROW(),COLUMN()-1,4)),UNSPSCCode,0)),IF(INDIRECT(ADDRESS(ROW(),COLUMN()-1,4))="14111706","Manteles de papel",""))</f>
        <v>Manteles de papel</v>
      </c>
      <c r="C549" s="30" t="str">
        <f>IFERROR(VLOOKUP("UD",'[1]Informacion '!P:Q,2,FALSE),"")</f>
        <v>Unidad</v>
      </c>
      <c r="D549" s="28">
        <v>1000</v>
      </c>
      <c r="E549" s="31">
        <v>7</v>
      </c>
      <c r="F549" s="32">
        <f t="shared" ca="1" si="5"/>
        <v>7000</v>
      </c>
    </row>
    <row r="550" spans="1:6" x14ac:dyDescent="0.3">
      <c r="A550" s="28" t="s">
        <v>208</v>
      </c>
      <c r="B550" s="29" t="str">
        <f ca="1">IFERROR(INDEX(UNSPSCDes,MATCH(INDIRECT(ADDRESS(ROW(),COLUMN()-1,4)),UNSPSCCode,0)),IF(INDIRECT(ADDRESS(ROW(),COLUMN()-1,4))="47131617","Traperos para polvo",""))</f>
        <v>Traperos para polvo</v>
      </c>
      <c r="C550" s="30" t="str">
        <f>IFERROR(VLOOKUP("UD",'[1]Informacion '!P:Q,2,FALSE),"")</f>
        <v>Unidad</v>
      </c>
      <c r="D550" s="28">
        <v>20</v>
      </c>
      <c r="E550" s="31">
        <v>250</v>
      </c>
      <c r="F550" s="32">
        <f t="shared" ca="1" si="5"/>
        <v>5000</v>
      </c>
    </row>
    <row r="551" spans="1:6" x14ac:dyDescent="0.3">
      <c r="A551" s="28" t="s">
        <v>209</v>
      </c>
      <c r="B551" s="29" t="str">
        <f ca="1">IFERROR(INDEX(UNSPSCDes,MATCH(INDIRECT(ADDRESS(ROW(),COLUMN()-1,4)),UNSPSCCode,0)),IF(INDIRECT(ADDRESS(ROW(),COLUMN()-1,4))="47131618","Traperos húmedos",""))</f>
        <v>Traperos húmedos</v>
      </c>
      <c r="C551" s="30" t="str">
        <f>IFERROR(VLOOKUP("UD",'[1]Informacion '!P:Q,2,FALSE),"")</f>
        <v>Unidad</v>
      </c>
      <c r="D551" s="28">
        <v>20</v>
      </c>
      <c r="E551" s="31">
        <v>180</v>
      </c>
      <c r="F551" s="32">
        <f t="shared" ca="1" si="5"/>
        <v>3600</v>
      </c>
    </row>
    <row r="552" spans="1:6" x14ac:dyDescent="0.3">
      <c r="A552" s="28" t="s">
        <v>210</v>
      </c>
      <c r="B552" s="29" t="str">
        <f ca="1">IFERROR(INDEX(UNSPSCDes,MATCH(INDIRECT(ADDRESS(ROW(),COLUMN()-1,4)),UNSPSCCode,0)),IF(INDIRECT(ADDRESS(ROW(),COLUMN()-1,4))="46181504","Guantes de protección",""))</f>
        <v>Guantes de protección</v>
      </c>
      <c r="C552" s="30" t="str">
        <f>IFERROR(VLOOKUP("PAQ",'[1]Informacion '!P:Q,2,FALSE),"")</f>
        <v>Paquete</v>
      </c>
      <c r="D552" s="28">
        <v>30</v>
      </c>
      <c r="E552" s="31">
        <v>80</v>
      </c>
      <c r="F552" s="32">
        <f t="shared" ca="1" si="5"/>
        <v>2400</v>
      </c>
    </row>
    <row r="553" spans="1:6" x14ac:dyDescent="0.3">
      <c r="A553" s="28" t="s">
        <v>211</v>
      </c>
      <c r="B553" s="29" t="str">
        <f ca="1">IFERROR(INDEX(UNSPSCDes,MATCH(INDIRECT(ADDRESS(ROW(),COLUMN()-1,4)),UNSPSCCode,0)),IF(INDIRECT(ADDRESS(ROW(),COLUMN()-1,4))="47131818","Antiséptico de aire",""))</f>
        <v>Antiséptico de aire</v>
      </c>
      <c r="C553" s="30" t="str">
        <f>IFERROR(VLOOKUP("UD",'[1]Informacion '!P:Q,2,FALSE),"")</f>
        <v>Unidad</v>
      </c>
      <c r="D553" s="28">
        <v>120</v>
      </c>
      <c r="E553" s="31">
        <v>500</v>
      </c>
      <c r="F553" s="32">
        <f t="shared" ca="1" si="5"/>
        <v>60000</v>
      </c>
    </row>
    <row r="554" spans="1:6" x14ac:dyDescent="0.3">
      <c r="A554" s="28" t="s">
        <v>212</v>
      </c>
      <c r="B554" s="29" t="str">
        <f ca="1">IFERROR(INDEX(UNSPSCDes,MATCH(INDIRECT(ADDRESS(ROW(),COLUMN()-1,4)),UNSPSCCode,0)),IF(INDIRECT(ADDRESS(ROW(),COLUMN()-1,4))="47131824","Limpiadores de vidrio o ventanas",""))</f>
        <v>Limpiadores de vidrio o ventanas</v>
      </c>
      <c r="C554" s="30" t="str">
        <f>IFERROR(VLOOKUP("UD",'[1]Informacion '!P:Q,2,FALSE),"")</f>
        <v>Unidad</v>
      </c>
      <c r="D554" s="28">
        <v>10</v>
      </c>
      <c r="E554" s="31">
        <v>110</v>
      </c>
      <c r="F554" s="32">
        <f t="shared" ca="1" si="5"/>
        <v>1100</v>
      </c>
    </row>
    <row r="555" spans="1:6" x14ac:dyDescent="0.3">
      <c r="A555" s="28" t="s">
        <v>213</v>
      </c>
      <c r="B555" s="29" t="str">
        <f ca="1">IFERROR(INDEX(UNSPSCDes,MATCH(INDIRECT(ADDRESS(ROW(),COLUMN()-1,4)),UNSPSCCode,0)),IF(INDIRECT(ADDRESS(ROW(),COLUMN()-1,4))="47131827","Limpiadores o removedores de manchas",""))</f>
        <v>Limpiadores o removedores de manchas</v>
      </c>
      <c r="C555" s="30" t="str">
        <f>IFERROR(VLOOKUP("UD",'[1]Informacion '!P:Q,2,FALSE),"")</f>
        <v>Unidad</v>
      </c>
      <c r="D555" s="28">
        <v>200</v>
      </c>
      <c r="E555" s="31">
        <v>200</v>
      </c>
      <c r="F555" s="32">
        <f t="shared" ca="1" si="5"/>
        <v>40000</v>
      </c>
    </row>
    <row r="556" spans="1:6" x14ac:dyDescent="0.3">
      <c r="A556" s="28" t="s">
        <v>193</v>
      </c>
      <c r="B556" s="29" t="str">
        <f ca="1">IFERROR(INDEX(UNSPSCDes,MATCH(INDIRECT(ADDRESS(ROW(),COLUMN()-1,4)),UNSPSCCode,0)),IF(INDIRECT(ADDRESS(ROW(),COLUMN()-1,4))="47131829","Limpiadores de baños",""))</f>
        <v>Limpiadores de baños</v>
      </c>
      <c r="C556" s="30" t="str">
        <f>IFERROR(VLOOKUP("UD",'[1]Informacion '!P:Q,2,FALSE),"")</f>
        <v>Unidad</v>
      </c>
      <c r="D556" s="28">
        <v>15</v>
      </c>
      <c r="E556" s="31">
        <v>200</v>
      </c>
      <c r="F556" s="32">
        <f t="shared" ca="1" si="5"/>
        <v>3000</v>
      </c>
    </row>
    <row r="557" spans="1:6" x14ac:dyDescent="0.3">
      <c r="A557" s="28" t="s">
        <v>204</v>
      </c>
      <c r="B557" s="29" t="str">
        <f ca="1">IFERROR(INDEX(UNSPSCDes,MATCH(INDIRECT(ADDRESS(ROW(),COLUMN()-1,4)),UNSPSCCode,0)),IF(INDIRECT(ADDRESS(ROW(),COLUMN()-1,4))="39111517","Velas de Cera",""))</f>
        <v>Velas de Cera</v>
      </c>
      <c r="C557" s="30" t="str">
        <f>IFERROR(VLOOKUP("UD",'[1]Informacion '!P:Q,2,FALSE),"")</f>
        <v>Unidad</v>
      </c>
      <c r="D557" s="28">
        <v>30</v>
      </c>
      <c r="E557" s="31">
        <v>165</v>
      </c>
      <c r="F557" s="32">
        <f t="shared" ca="1" si="5"/>
        <v>4950</v>
      </c>
    </row>
    <row r="558" spans="1:6" x14ac:dyDescent="0.3">
      <c r="A558" s="28" t="s">
        <v>190</v>
      </c>
      <c r="B558" s="29" t="str">
        <f ca="1">IFERROR(INDEX(UNSPSCDes,MATCH(INDIRECT(ADDRESS(ROW(),COLUMN()-1,4)),UNSPSCCode,0)),IF(INDIRECT(ADDRESS(ROW(),COLUMN()-1,4))="47131611","Recogedor de basura",""))</f>
        <v>Recogedor de basura</v>
      </c>
      <c r="C558" s="30" t="str">
        <f>IFERROR(VLOOKUP("UD",'[1]Informacion '!P:Q,2,FALSE),"")</f>
        <v>Unidad</v>
      </c>
      <c r="D558" s="28">
        <v>6</v>
      </c>
      <c r="E558" s="31">
        <v>145</v>
      </c>
      <c r="F558" s="32">
        <f t="shared" ca="1" si="5"/>
        <v>870</v>
      </c>
    </row>
    <row r="559" spans="1:6" x14ac:dyDescent="0.3">
      <c r="A559" s="28" t="s">
        <v>214</v>
      </c>
      <c r="B559" s="29" t="str">
        <f ca="1">IFERROR(INDEX(UNSPSCDes,MATCH(INDIRECT(ADDRESS(ROW(),COLUMN()-1,4)),UNSPSCCode,0)),IF(INDIRECT(ADDRESS(ROW(),COLUMN()-1,4))="47131608","Cepillos de baño",""))</f>
        <v>Cepillos de baño</v>
      </c>
      <c r="C559" s="30" t="str">
        <f>IFERROR(VLOOKUP("UD",'[1]Informacion '!P:Q,2,FALSE),"")</f>
        <v>Unidad</v>
      </c>
      <c r="D559" s="28">
        <v>8</v>
      </c>
      <c r="E559" s="31">
        <v>750</v>
      </c>
      <c r="F559" s="32">
        <f t="shared" ca="1" si="5"/>
        <v>6000</v>
      </c>
    </row>
    <row r="560" spans="1:6" x14ac:dyDescent="0.3">
      <c r="A560" s="28" t="s">
        <v>209</v>
      </c>
      <c r="B560" s="29" t="str">
        <f ca="1">IFERROR(INDEX(UNSPSCDes,MATCH(INDIRECT(ADDRESS(ROW(),COLUMN()-1,4)),UNSPSCCode,0)),IF(INDIRECT(ADDRESS(ROW(),COLUMN()-1,4))="47131618","Traperos húmedos",""))</f>
        <v>Traperos húmedos</v>
      </c>
      <c r="C560" s="30" t="str">
        <f>IFERROR(VLOOKUP("UD",'[1]Informacion '!P:Q,2,FALSE),"")</f>
        <v>Unidad</v>
      </c>
      <c r="D560" s="28">
        <v>12</v>
      </c>
      <c r="E560" s="31">
        <v>188</v>
      </c>
      <c r="F560" s="32">
        <f t="shared" ca="1" si="5"/>
        <v>2256</v>
      </c>
    </row>
    <row r="561" spans="1:6" x14ac:dyDescent="0.3">
      <c r="A561" s="19"/>
      <c r="B561" s="19"/>
      <c r="C561" s="19"/>
      <c r="D561" s="19"/>
      <c r="E561" s="33" t="s">
        <v>48</v>
      </c>
      <c r="F561" s="34">
        <f ca="1">SUM(Table42[MONTO TOTAL ESTIMADO])</f>
        <v>657883</v>
      </c>
    </row>
    <row r="562" spans="1:6" ht="15" thickBot="1" x14ac:dyDescent="0.35">
      <c r="A562" s="19"/>
      <c r="B562" s="19"/>
      <c r="C562" s="19"/>
      <c r="D562" s="19"/>
      <c r="E562" s="19"/>
      <c r="F562" s="19"/>
    </row>
    <row r="563" spans="1:6" ht="21" thickBot="1" x14ac:dyDescent="0.35">
      <c r="A563" s="20" t="s">
        <v>19</v>
      </c>
      <c r="B563" s="20" t="s">
        <v>20</v>
      </c>
      <c r="C563" s="20" t="s">
        <v>21</v>
      </c>
      <c r="D563" s="20" t="s">
        <v>22</v>
      </c>
      <c r="E563" s="20" t="s">
        <v>23</v>
      </c>
      <c r="F563" s="20" t="s">
        <v>24</v>
      </c>
    </row>
    <row r="564" spans="1:6" ht="15" thickBot="1" x14ac:dyDescent="0.35">
      <c r="A564" s="21" t="s">
        <v>179</v>
      </c>
      <c r="B564" s="21" t="s">
        <v>180</v>
      </c>
      <c r="C564" s="21" t="s">
        <v>60</v>
      </c>
      <c r="D564" s="21" t="s">
        <v>28</v>
      </c>
      <c r="E564" s="21" t="s">
        <v>54</v>
      </c>
      <c r="F564" s="21" t="s">
        <v>18</v>
      </c>
    </row>
    <row r="565" spans="1:6" ht="15" thickBot="1" x14ac:dyDescent="0.35">
      <c r="A565" s="41" t="s">
        <v>30</v>
      </c>
      <c r="B565" s="22" t="s">
        <v>31</v>
      </c>
      <c r="C565" s="23">
        <v>45122</v>
      </c>
      <c r="D565" s="41" t="s">
        <v>32</v>
      </c>
      <c r="E565" s="24" t="s">
        <v>33</v>
      </c>
      <c r="F565" s="25" t="s">
        <v>34</v>
      </c>
    </row>
    <row r="566" spans="1:6" ht="15" thickBot="1" x14ac:dyDescent="0.35">
      <c r="A566" s="42"/>
      <c r="B566" s="22" t="s">
        <v>35</v>
      </c>
      <c r="C566" s="26">
        <f>IF(C565="","",IF(AND(MONTH(C565)&gt;=1,MONTH(C565)&lt;=3),1,IF(AND(MONTH(C565)&gt;=4,MONTH(C565)&lt;=6),2,IF(AND(MONTH(C565)&gt;=7,MONTH(C565)&lt;=9),3,4))))</f>
        <v>3</v>
      </c>
      <c r="D566" s="42"/>
      <c r="E566" s="24" t="s">
        <v>36</v>
      </c>
      <c r="F566" s="25" t="s">
        <v>37</v>
      </c>
    </row>
    <row r="567" spans="1:6" ht="15" thickBot="1" x14ac:dyDescent="0.35">
      <c r="A567" s="42"/>
      <c r="B567" s="22" t="s">
        <v>38</v>
      </c>
      <c r="C567" s="23">
        <v>45153</v>
      </c>
      <c r="D567" s="42"/>
      <c r="E567" s="24" t="s">
        <v>39</v>
      </c>
      <c r="F567" s="25" t="s">
        <v>37</v>
      </c>
    </row>
    <row r="568" spans="1:6" ht="15" thickBot="1" x14ac:dyDescent="0.35">
      <c r="A568" s="42"/>
      <c r="B568" s="22" t="s">
        <v>35</v>
      </c>
      <c r="C568" s="26">
        <f>IF(C567="","",IF(AND(MONTH(C567)&gt;=1,MONTH(C567)&lt;=3),1,IF(AND(MONTH(C567)&gt;=4,MONTH(C567)&lt;=6),2,IF(AND(MONTH(C567)&gt;=7,MONTH(C567)&lt;=9),3,4))))</f>
        <v>3</v>
      </c>
      <c r="D568" s="42"/>
      <c r="E568" s="24" t="s">
        <v>40</v>
      </c>
      <c r="F568" s="25"/>
    </row>
    <row r="569" spans="1:6" ht="15" thickBot="1" x14ac:dyDescent="0.35">
      <c r="A569" s="19"/>
      <c r="B569" s="19"/>
      <c r="C569" s="19"/>
      <c r="D569" s="19"/>
      <c r="E569" s="19"/>
      <c r="F569" s="19"/>
    </row>
    <row r="570" spans="1:6" ht="15" thickBot="1" x14ac:dyDescent="0.35">
      <c r="A570" s="27" t="s">
        <v>41</v>
      </c>
      <c r="B570" s="27" t="s">
        <v>42</v>
      </c>
      <c r="C570" s="27" t="s">
        <v>43</v>
      </c>
      <c r="D570" s="27" t="s">
        <v>44</v>
      </c>
      <c r="E570" s="27" t="s">
        <v>45</v>
      </c>
      <c r="F570" s="27" t="s">
        <v>46</v>
      </c>
    </row>
    <row r="571" spans="1:6" x14ac:dyDescent="0.3">
      <c r="A571" s="28" t="s">
        <v>181</v>
      </c>
      <c r="B571" s="29" t="str">
        <f ca="1">IFERROR(INDEX(UNSPSCDes,MATCH(INDIRECT(ADDRESS(ROW(),COLUMN()-1,4)),UNSPSCCode,0)),IF(INDIRECT(ADDRESS(ROW(),COLUMN()-1,4))="53131626","Desinfectante de manos",""))</f>
        <v>Desinfectante de manos</v>
      </c>
      <c r="C571" s="30" t="str">
        <f>IFERROR(VLOOKUP("UD",'[1]Informacion '!P:Q,2,FALSE),"")</f>
        <v>Unidad</v>
      </c>
      <c r="D571" s="28">
        <v>36</v>
      </c>
      <c r="E571" s="31">
        <v>160</v>
      </c>
      <c r="F571" s="32">
        <f t="shared" ref="F571:F617" ca="1" si="6">INDIRECT(ADDRESS(ROW(),COLUMN()-2,4))*INDIRECT(ADDRESS(ROW(),COLUMN()-1,4))</f>
        <v>5760</v>
      </c>
    </row>
    <row r="572" spans="1:6" x14ac:dyDescent="0.3">
      <c r="A572" s="28" t="s">
        <v>182</v>
      </c>
      <c r="B572" s="29" t="str">
        <f ca="1">IFERROR(INDEX(UNSPSCDes,MATCH(INDIRECT(ADDRESS(ROW(),COLUMN()-1,4)),UNSPSCCode,0)),IF(INDIRECT(ADDRESS(ROW(),COLUMN()-1,4))="53131608","Jabones",""))</f>
        <v>Jabones</v>
      </c>
      <c r="C572" s="30" t="str">
        <f>IFERROR(VLOOKUP("GAL",'[1]Informacion '!P:Q,2,FALSE),"")</f>
        <v>Galón</v>
      </c>
      <c r="D572" s="28">
        <v>12</v>
      </c>
      <c r="E572" s="31">
        <v>400</v>
      </c>
      <c r="F572" s="32">
        <f t="shared" ca="1" si="6"/>
        <v>4800</v>
      </c>
    </row>
    <row r="573" spans="1:6" x14ac:dyDescent="0.3">
      <c r="A573" s="28" t="s">
        <v>183</v>
      </c>
      <c r="B573" s="29" t="str">
        <f ca="1">IFERROR(INDEX(UNSPSCDes,MATCH(INDIRECT(ADDRESS(ROW(),COLUMN()-1,4)),UNSPSCCode,0)),IF(INDIRECT(ADDRESS(ROW(),COLUMN()-1,4))="47131812","Refrescador de aire",""))</f>
        <v>Refrescador de aire</v>
      </c>
      <c r="C573" s="30" t="str">
        <f>IFERROR(VLOOKUP("UD",'[1]Informacion '!P:Q,2,FALSE),"")</f>
        <v>Unidad</v>
      </c>
      <c r="D573" s="28">
        <v>200</v>
      </c>
      <c r="E573" s="31">
        <v>150</v>
      </c>
      <c r="F573" s="32">
        <f t="shared" ca="1" si="6"/>
        <v>30000</v>
      </c>
    </row>
    <row r="574" spans="1:6" x14ac:dyDescent="0.3">
      <c r="A574" s="28" t="s">
        <v>184</v>
      </c>
      <c r="B574" s="29" t="str">
        <f ca="1">IFERROR(INDEX(UNSPSCDes,MATCH(INDIRECT(ADDRESS(ROW(),COLUMN()-1,4)),UNSPSCCode,0)),IF(INDIRECT(ADDRESS(ROW(),COLUMN()-1,4))="47131807","Blanqueadores",""))</f>
        <v>Blanqueadores</v>
      </c>
      <c r="C574" s="30" t="str">
        <f>IFERROR(VLOOKUP("GAL",'[1]Informacion '!P:Q,2,FALSE),"")</f>
        <v>Galón</v>
      </c>
      <c r="D574" s="28">
        <v>20</v>
      </c>
      <c r="E574" s="31">
        <v>95</v>
      </c>
      <c r="F574" s="32">
        <f t="shared" ca="1" si="6"/>
        <v>1900</v>
      </c>
    </row>
    <row r="575" spans="1:6" x14ac:dyDescent="0.3">
      <c r="A575" s="28" t="s">
        <v>185</v>
      </c>
      <c r="B575" s="29" t="str">
        <f ca="1">IFERROR(INDEX(UNSPSCDes,MATCH(INDIRECT(ADDRESS(ROW(),COLUMN()-1,4)),UNSPSCCode,0)),IF(INDIRECT(ADDRESS(ROW(),COLUMN()-1,4))="47131810","Productos para el lavaplatos",""))</f>
        <v>Productos para el lavaplatos</v>
      </c>
      <c r="C575" s="30" t="str">
        <f>IFERROR(VLOOKUP("GAL",'[1]Informacion '!P:Q,2,FALSE),"")</f>
        <v>Galón</v>
      </c>
      <c r="D575" s="28">
        <v>15</v>
      </c>
      <c r="E575" s="31">
        <v>110</v>
      </c>
      <c r="F575" s="32">
        <f t="shared" ca="1" si="6"/>
        <v>1650</v>
      </c>
    </row>
    <row r="576" spans="1:6" x14ac:dyDescent="0.3">
      <c r="A576" s="28" t="s">
        <v>186</v>
      </c>
      <c r="B576" s="29" t="str">
        <f ca="1">IFERROR(INDEX(UNSPSCDes,MATCH(INDIRECT(ADDRESS(ROW(),COLUMN()-1,4)),UNSPSCCode,0)),IF(INDIRECT(ADDRESS(ROW(),COLUMN()-1,4))="47131603","Esponjas",""))</f>
        <v>Esponjas</v>
      </c>
      <c r="C576" s="30" t="str">
        <f>IFERROR(VLOOKUP("UD",'[1]Informacion '!P:Q,2,FALSE),"")</f>
        <v>Unidad</v>
      </c>
      <c r="D576" s="28">
        <v>50</v>
      </c>
      <c r="E576" s="31">
        <v>35</v>
      </c>
      <c r="F576" s="32">
        <f t="shared" ca="1" si="6"/>
        <v>1750</v>
      </c>
    </row>
    <row r="577" spans="1:6" x14ac:dyDescent="0.3">
      <c r="A577" s="28" t="s">
        <v>187</v>
      </c>
      <c r="B577" s="29" t="str">
        <f ca="1">IFERROR(INDEX(UNSPSCDes,MATCH(INDIRECT(ADDRESS(ROW(),COLUMN()-1,4)),UNSPSCCode,0)),IF(INDIRECT(ADDRESS(ROW(),COLUMN()-1,4))="47131604","Escobas",""))</f>
        <v>Escobas</v>
      </c>
      <c r="C577" s="30" t="str">
        <f>IFERROR(VLOOKUP("UD",'[1]Informacion '!P:Q,2,FALSE),"")</f>
        <v>Unidad</v>
      </c>
      <c r="D577" s="28">
        <v>10</v>
      </c>
      <c r="E577" s="31">
        <v>74</v>
      </c>
      <c r="F577" s="32">
        <f t="shared" ca="1" si="6"/>
        <v>740</v>
      </c>
    </row>
    <row r="578" spans="1:6" x14ac:dyDescent="0.3">
      <c r="A578" s="28" t="s">
        <v>188</v>
      </c>
      <c r="B578" s="29" t="str">
        <f ca="1">IFERROR(INDEX(UNSPSCDes,MATCH(INDIRECT(ADDRESS(ROW(),COLUMN()-1,4)),UNSPSCCode,0)),IF(INDIRECT(ADDRESS(ROW(),COLUMN()-1,4))="47131501","Trapos",""))</f>
        <v>Trapos</v>
      </c>
      <c r="C578" s="30" t="str">
        <f>IFERROR(VLOOKUP("PAQ",'[1]Informacion '!P:Q,2,FALSE),"")</f>
        <v>Paquete</v>
      </c>
      <c r="D578" s="28">
        <v>20</v>
      </c>
      <c r="E578" s="31">
        <v>108</v>
      </c>
      <c r="F578" s="32">
        <f t="shared" ca="1" si="6"/>
        <v>2160</v>
      </c>
    </row>
    <row r="579" spans="1:6" x14ac:dyDescent="0.3">
      <c r="A579" s="28" t="s">
        <v>189</v>
      </c>
      <c r="B579" s="29" t="str">
        <f ca="1">IFERROR(INDEX(UNSPSCDes,MATCH(INDIRECT(ADDRESS(ROW(),COLUMN()-1,4)),UNSPSCCode,0)),IF(INDIRECT(ADDRESS(ROW(),COLUMN()-1,4))="47131502","Pañitos o toallas para limpiar",""))</f>
        <v>Pañitos o toallas para limpiar</v>
      </c>
      <c r="C579" s="30" t="str">
        <f>IFERROR(VLOOKUP("PAQ",'[1]Informacion '!P:Q,2,FALSE),"")</f>
        <v>Paquete</v>
      </c>
      <c r="D579" s="28">
        <v>30</v>
      </c>
      <c r="E579" s="31">
        <v>75</v>
      </c>
      <c r="F579" s="32">
        <f t="shared" ca="1" si="6"/>
        <v>2250</v>
      </c>
    </row>
    <row r="580" spans="1:6" x14ac:dyDescent="0.3">
      <c r="A580" s="28" t="s">
        <v>190</v>
      </c>
      <c r="B580" s="29" t="str">
        <f ca="1">IFERROR(INDEX(UNSPSCDes,MATCH(INDIRECT(ADDRESS(ROW(),COLUMN()-1,4)),UNSPSCCode,0)),IF(INDIRECT(ADDRESS(ROW(),COLUMN()-1,4))="47131611","Recogedor de basura",""))</f>
        <v>Recogedor de basura</v>
      </c>
      <c r="C580" s="30" t="str">
        <f>IFERROR(VLOOKUP("UD",'[1]Informacion '!P:Q,2,FALSE),"")</f>
        <v>Unidad</v>
      </c>
      <c r="D580" s="28">
        <v>6</v>
      </c>
      <c r="E580" s="31">
        <v>90</v>
      </c>
      <c r="F580" s="32">
        <f t="shared" ca="1" si="6"/>
        <v>540</v>
      </c>
    </row>
    <row r="581" spans="1:6" x14ac:dyDescent="0.3">
      <c r="A581" s="28" t="s">
        <v>191</v>
      </c>
      <c r="B581" s="29" t="str">
        <f ca="1">IFERROR(INDEX(UNSPSCDes,MATCH(INDIRECT(ADDRESS(ROW(),COLUMN()-1,4)),UNSPSCCode,0)),IF(INDIRECT(ADDRESS(ROW(),COLUMN()-1,4))="47131602","Almohadillas para restregar",""))</f>
        <v>Almohadillas para restregar</v>
      </c>
      <c r="C581" s="30" t="str">
        <f>IFERROR(VLOOKUP("UD",'[1]Informacion '!P:Q,2,FALSE),"")</f>
        <v>Unidad</v>
      </c>
      <c r="D581" s="28">
        <v>40</v>
      </c>
      <c r="E581" s="31">
        <v>20</v>
      </c>
      <c r="F581" s="32">
        <f t="shared" ca="1" si="6"/>
        <v>800</v>
      </c>
    </row>
    <row r="582" spans="1:6" x14ac:dyDescent="0.3">
      <c r="A582" s="28" t="s">
        <v>192</v>
      </c>
      <c r="B582" s="29" t="str">
        <f ca="1">IFERROR(INDEX(UNSPSCDes,MATCH(INDIRECT(ADDRESS(ROW(),COLUMN()-1,4)),UNSPSCCode,0)),IF(INDIRECT(ADDRESS(ROW(),COLUMN()-1,4))="47131605","Cepillos de limpieza",""))</f>
        <v>Cepillos de limpieza</v>
      </c>
      <c r="C582" s="30" t="str">
        <f>IFERROR(VLOOKUP("UD",'[1]Informacion '!P:Q,2,FALSE),"")</f>
        <v>Unidad</v>
      </c>
      <c r="D582" s="28">
        <v>8</v>
      </c>
      <c r="E582" s="31">
        <v>75</v>
      </c>
      <c r="F582" s="32">
        <f t="shared" ca="1" si="6"/>
        <v>600</v>
      </c>
    </row>
    <row r="583" spans="1:6" x14ac:dyDescent="0.3">
      <c r="A583" s="28" t="s">
        <v>193</v>
      </c>
      <c r="B583" s="29" t="str">
        <f ca="1">IFERROR(INDEX(UNSPSCDes,MATCH(INDIRECT(ADDRESS(ROW(),COLUMN()-1,4)),UNSPSCCode,0)),IF(INDIRECT(ADDRESS(ROW(),COLUMN()-1,4))="47131829","Limpiadores de baños",""))</f>
        <v>Limpiadores de baños</v>
      </c>
      <c r="C583" s="30" t="str">
        <f>IFERROR(VLOOKUP("GAL",'[1]Informacion '!P:Q,2,FALSE),"")</f>
        <v>Galón</v>
      </c>
      <c r="D583" s="28">
        <v>10</v>
      </c>
      <c r="E583" s="31">
        <v>60</v>
      </c>
      <c r="F583" s="32">
        <f t="shared" ca="1" si="6"/>
        <v>600</v>
      </c>
    </row>
    <row r="584" spans="1:6" x14ac:dyDescent="0.3">
      <c r="A584" s="28" t="s">
        <v>194</v>
      </c>
      <c r="B584" s="29" t="str">
        <f ca="1">IFERROR(INDEX(UNSPSCDes,MATCH(INDIRECT(ADDRESS(ROW(),COLUMN()-1,4)),UNSPSCCode,0)),IF(INDIRECT(ADDRESS(ROW(),COLUMN()-1,4))="14111703","Toallas de papel",""))</f>
        <v>Toallas de papel</v>
      </c>
      <c r="C584" s="30" t="str">
        <f>IFERROR(VLOOKUP("PAQ",'[1]Informacion '!P:Q,2,FALSE),"")</f>
        <v>Paquete</v>
      </c>
      <c r="D584" s="28">
        <v>54</v>
      </c>
      <c r="E584" s="31">
        <v>350</v>
      </c>
      <c r="F584" s="32">
        <f t="shared" ca="1" si="6"/>
        <v>18900</v>
      </c>
    </row>
    <row r="585" spans="1:6" x14ac:dyDescent="0.3">
      <c r="A585" s="28" t="s">
        <v>195</v>
      </c>
      <c r="B585" s="29" t="str">
        <f ca="1">IFERROR(INDEX(UNSPSCDes,MATCH(INDIRECT(ADDRESS(ROW(),COLUMN()-1,4)),UNSPSCCode,0)),IF(INDIRECT(ADDRESS(ROW(),COLUMN()-1,4))="14111705","Servilletas de papel",""))</f>
        <v>Servilletas de papel</v>
      </c>
      <c r="C585" s="30" t="str">
        <f>IFERROR(VLOOKUP("PAQ",'[1]Informacion '!P:Q,2,FALSE),"")</f>
        <v>Paquete</v>
      </c>
      <c r="D585" s="28">
        <v>48</v>
      </c>
      <c r="E585" s="31">
        <v>54</v>
      </c>
      <c r="F585" s="32">
        <f t="shared" ca="1" si="6"/>
        <v>2592</v>
      </c>
    </row>
    <row r="586" spans="1:6" x14ac:dyDescent="0.3">
      <c r="A586" s="28" t="s">
        <v>196</v>
      </c>
      <c r="B586" s="29" t="str">
        <f ca="1">IFERROR(INDEX(UNSPSCDes,MATCH(INDIRECT(ADDRESS(ROW(),COLUMN()-1,4)),UNSPSCCode,0)),IF(INDIRECT(ADDRESS(ROW(),COLUMN()-1,4))="53131624","Paños limpiadores desechables",""))</f>
        <v>Paños limpiadores desechables</v>
      </c>
      <c r="C586" s="30" t="str">
        <f>IFERROR(VLOOKUP("PAQ",'[1]Informacion '!P:Q,2,FALSE),"")</f>
        <v>Paquete</v>
      </c>
      <c r="D586" s="28">
        <v>12</v>
      </c>
      <c r="E586" s="31">
        <v>140</v>
      </c>
      <c r="F586" s="32">
        <f t="shared" ca="1" si="6"/>
        <v>1680</v>
      </c>
    </row>
    <row r="587" spans="1:6" x14ac:dyDescent="0.3">
      <c r="A587" s="28" t="s">
        <v>197</v>
      </c>
      <c r="B587" s="29" t="str">
        <f ca="1">IFERROR(INDEX(UNSPSCDes,MATCH(INDIRECT(ADDRESS(ROW(),COLUMN()-1,4)),UNSPSCCode,0)),IF(INDIRECT(ADDRESS(ROW(),COLUMN()-1,4))="47131803","Desinfectantes para uso doméstico",""))</f>
        <v>Desinfectantes para uso doméstico</v>
      </c>
      <c r="C587" s="30" t="str">
        <f>IFERROR(VLOOKUP("GAL",'[1]Informacion '!P:Q,2,FALSE),"")</f>
        <v>Galón</v>
      </c>
      <c r="D587" s="28">
        <v>45</v>
      </c>
      <c r="E587" s="31">
        <v>575</v>
      </c>
      <c r="F587" s="32">
        <f t="shared" ca="1" si="6"/>
        <v>25875</v>
      </c>
    </row>
    <row r="588" spans="1:6" x14ac:dyDescent="0.3">
      <c r="A588" s="28" t="s">
        <v>198</v>
      </c>
      <c r="B588" s="29" t="str">
        <f ca="1">IFERROR(INDEX(UNSPSCDes,MATCH(INDIRECT(ADDRESS(ROW(),COLUMN()-1,4)),UNSPSCCode,0)),IF(INDIRECT(ADDRESS(ROW(),COLUMN()-1,4))="47131805","Limpiadores de propósito general",""))</f>
        <v>Limpiadores de propósito general</v>
      </c>
      <c r="C588" s="30" t="str">
        <f>IFERROR(VLOOKUP("UD",'[1]Informacion '!P:Q,2,FALSE),"")</f>
        <v>Unidad</v>
      </c>
      <c r="D588" s="28">
        <v>20</v>
      </c>
      <c r="E588" s="31">
        <v>110</v>
      </c>
      <c r="F588" s="32">
        <f t="shared" ca="1" si="6"/>
        <v>2200</v>
      </c>
    </row>
    <row r="589" spans="1:6" x14ac:dyDescent="0.3">
      <c r="A589" s="28" t="s">
        <v>199</v>
      </c>
      <c r="B589" s="29" t="str">
        <f ca="1">IFERROR(INDEX(UNSPSCDes,MATCH(INDIRECT(ADDRESS(ROW(),COLUMN()-1,4)),UNSPSCCode,0)),IF(INDIRECT(ADDRESS(ROW(),COLUMN()-1,4))="47121701","Bolsas de basura",""))</f>
        <v>Bolsas de basura</v>
      </c>
      <c r="C589" s="30" t="str">
        <f>IFERROR(VLOOKUP("PAQ",'[1]Informacion '!P:Q,2,FALSE),"")</f>
        <v>Paquete</v>
      </c>
      <c r="D589" s="28">
        <v>220</v>
      </c>
      <c r="E589" s="31">
        <v>50</v>
      </c>
      <c r="F589" s="32">
        <f t="shared" ca="1" si="6"/>
        <v>11000</v>
      </c>
    </row>
    <row r="590" spans="1:6" x14ac:dyDescent="0.3">
      <c r="A590" s="28" t="s">
        <v>199</v>
      </c>
      <c r="B590" s="29" t="str">
        <f ca="1">IFERROR(INDEX(UNSPSCDes,MATCH(INDIRECT(ADDRESS(ROW(),COLUMN()-1,4)),UNSPSCCode,0)),IF(INDIRECT(ADDRESS(ROW(),COLUMN()-1,4))="47121701","Bolsas de basura",""))</f>
        <v>Bolsas de basura</v>
      </c>
      <c r="C590" s="30" t="str">
        <f>IFERROR(VLOOKUP("PAQ",'[1]Informacion '!P:Q,2,FALSE),"")</f>
        <v>Paquete</v>
      </c>
      <c r="D590" s="28">
        <v>160</v>
      </c>
      <c r="E590" s="31">
        <v>50</v>
      </c>
      <c r="F590" s="32">
        <f t="shared" ca="1" si="6"/>
        <v>8000</v>
      </c>
    </row>
    <row r="591" spans="1:6" x14ac:dyDescent="0.3">
      <c r="A591" s="28" t="s">
        <v>199</v>
      </c>
      <c r="B591" s="29" t="str">
        <f ca="1">IFERROR(INDEX(UNSPSCDes,MATCH(INDIRECT(ADDRESS(ROW(),COLUMN()-1,4)),UNSPSCCode,0)),IF(INDIRECT(ADDRESS(ROW(),COLUMN()-1,4))="47121701","Bolsas de basura",""))</f>
        <v>Bolsas de basura</v>
      </c>
      <c r="C591" s="30" t="str">
        <f>IFERROR(VLOOKUP("PAQ",'[1]Informacion '!P:Q,2,FALSE),"")</f>
        <v>Paquete</v>
      </c>
      <c r="D591" s="28">
        <v>90</v>
      </c>
      <c r="E591" s="31">
        <v>50</v>
      </c>
      <c r="F591" s="32">
        <f t="shared" ca="1" si="6"/>
        <v>4500</v>
      </c>
    </row>
    <row r="592" spans="1:6" x14ac:dyDescent="0.3">
      <c r="A592" s="28" t="s">
        <v>200</v>
      </c>
      <c r="B592" s="29" t="str">
        <f ca="1">IFERROR(INDEX(UNSPSCDes,MATCH(INDIRECT(ADDRESS(ROW(),COLUMN()-1,4)),UNSPSCCode,0)),IF(INDIRECT(ADDRESS(ROW(),COLUMN()-1,4))="24111503","Bolsas plásticas",""))</f>
        <v>Bolsas plásticas</v>
      </c>
      <c r="C592" s="30" t="str">
        <f>IFERROR(VLOOKUP("PAQ",'[1]Informacion '!P:Q,2,FALSE),"")</f>
        <v>Paquete</v>
      </c>
      <c r="D592" s="28">
        <v>180</v>
      </c>
      <c r="E592" s="31">
        <v>80</v>
      </c>
      <c r="F592" s="32">
        <f t="shared" ca="1" si="6"/>
        <v>14400</v>
      </c>
    </row>
    <row r="593" spans="1:6" x14ac:dyDescent="0.3">
      <c r="A593" s="28" t="s">
        <v>189</v>
      </c>
      <c r="B593" s="29" t="str">
        <f ca="1">IFERROR(INDEX(UNSPSCDes,MATCH(INDIRECT(ADDRESS(ROW(),COLUMN()-1,4)),UNSPSCCode,0)),IF(INDIRECT(ADDRESS(ROW(),COLUMN()-1,4))="47131502","Pañitos o toallas para limpiar",""))</f>
        <v>Pañitos o toallas para limpiar</v>
      </c>
      <c r="C593" s="30" t="str">
        <f>IFERROR(VLOOKUP("PAQ",'[1]Informacion '!P:Q,2,FALSE),"")</f>
        <v>Paquete</v>
      </c>
      <c r="D593" s="28">
        <v>48</v>
      </c>
      <c r="E593" s="31">
        <v>200</v>
      </c>
      <c r="F593" s="32">
        <f t="shared" ca="1" si="6"/>
        <v>9600</v>
      </c>
    </row>
    <row r="594" spans="1:6" x14ac:dyDescent="0.3">
      <c r="A594" s="28" t="s">
        <v>201</v>
      </c>
      <c r="B594" s="29" t="str">
        <f ca="1">IFERROR(INDEX(UNSPSCDes,MATCH(INDIRECT(ADDRESS(ROW(),COLUMN()-1,4)),UNSPSCCode,0)),IF(INDIRECT(ADDRESS(ROW(),COLUMN()-1,4))="52151504","Tazas o vasos o tapas desechables para uso doméstico",""))</f>
        <v>Tazas o vasos o tapas desechables para uso doméstico</v>
      </c>
      <c r="C594" s="30" t="str">
        <f>IFERROR(VLOOKUP("PAQ",'[1]Informacion '!P:Q,2,FALSE),"")</f>
        <v>Paquete</v>
      </c>
      <c r="D594" s="28">
        <v>350</v>
      </c>
      <c r="E594" s="31">
        <v>59</v>
      </c>
      <c r="F594" s="32">
        <f t="shared" ca="1" si="6"/>
        <v>20650</v>
      </c>
    </row>
    <row r="595" spans="1:6" x14ac:dyDescent="0.3">
      <c r="A595" s="28" t="s">
        <v>201</v>
      </c>
      <c r="B595" s="29" t="str">
        <f ca="1">IFERROR(INDEX(UNSPSCDes,MATCH(INDIRECT(ADDRESS(ROW(),COLUMN()-1,4)),UNSPSCCode,0)),IF(INDIRECT(ADDRESS(ROW(),COLUMN()-1,4))="52151504","Tazas o vasos o tapas desechables para uso doméstico",""))</f>
        <v>Tazas o vasos o tapas desechables para uso doméstico</v>
      </c>
      <c r="C595" s="30" t="str">
        <f>IFERROR(VLOOKUP("PAQ",'[1]Informacion '!P:Q,2,FALSE),"")</f>
        <v>Paquete</v>
      </c>
      <c r="D595" s="28">
        <v>420</v>
      </c>
      <c r="E595" s="31">
        <v>55</v>
      </c>
      <c r="F595" s="32">
        <f t="shared" ca="1" si="6"/>
        <v>23100</v>
      </c>
    </row>
    <row r="596" spans="1:6" x14ac:dyDescent="0.3">
      <c r="A596" s="28" t="s">
        <v>202</v>
      </c>
      <c r="B596" s="29" t="str">
        <f ca="1">IFERROR(INDEX(UNSPSCDes,MATCH(INDIRECT(ADDRESS(ROW(),COLUMN()-1,4)),UNSPSCCode,0)),IF(INDIRECT(ADDRESS(ROW(),COLUMN()-1,4))="52151502","Platos desechables para uso doméstico",""))</f>
        <v>Platos desechables para uso doméstico</v>
      </c>
      <c r="C596" s="30" t="str">
        <f>IFERROR(VLOOKUP("PAQ",'[1]Informacion '!P:Q,2,FALSE),"")</f>
        <v>Paquete</v>
      </c>
      <c r="D596" s="28">
        <v>110</v>
      </c>
      <c r="E596" s="31">
        <v>33</v>
      </c>
      <c r="F596" s="32">
        <f t="shared" ca="1" si="6"/>
        <v>3630</v>
      </c>
    </row>
    <row r="597" spans="1:6" x14ac:dyDescent="0.3">
      <c r="A597" s="28" t="s">
        <v>202</v>
      </c>
      <c r="B597" s="29" t="str">
        <f ca="1">IFERROR(INDEX(UNSPSCDes,MATCH(INDIRECT(ADDRESS(ROW(),COLUMN()-1,4)),UNSPSCCode,0)),IF(INDIRECT(ADDRESS(ROW(),COLUMN()-1,4))="52151502","Platos desechables para uso doméstico",""))</f>
        <v>Platos desechables para uso doméstico</v>
      </c>
      <c r="C597" s="30" t="str">
        <f>IFERROR(VLOOKUP("PAQ",'[1]Informacion '!P:Q,2,FALSE),"")</f>
        <v>Paquete</v>
      </c>
      <c r="D597" s="28">
        <v>15</v>
      </c>
      <c r="E597" s="31">
        <v>54</v>
      </c>
      <c r="F597" s="32">
        <f t="shared" ca="1" si="6"/>
        <v>810</v>
      </c>
    </row>
    <row r="598" spans="1:6" x14ac:dyDescent="0.3">
      <c r="A598" s="28" t="s">
        <v>203</v>
      </c>
      <c r="B598" s="29" t="str">
        <f ca="1">IFERROR(INDEX(UNSPSCDes,MATCH(INDIRECT(ADDRESS(ROW(),COLUMN()-1,4)),UNSPSCCode,0)),IF(INDIRECT(ADDRESS(ROW(),COLUMN()-1,4))="52151503","Cubiertos desechables para uso doméstico",""))</f>
        <v>Cubiertos desechables para uso doméstico</v>
      </c>
      <c r="C598" s="30" t="str">
        <f>IFERROR(VLOOKUP("PAQ",'[1]Informacion '!P:Q,2,FALSE),"")</f>
        <v>Paquete</v>
      </c>
      <c r="D598" s="28">
        <v>160</v>
      </c>
      <c r="E598" s="31">
        <v>23.5</v>
      </c>
      <c r="F598" s="32">
        <f t="shared" ca="1" si="6"/>
        <v>3760</v>
      </c>
    </row>
    <row r="599" spans="1:6" x14ac:dyDescent="0.3">
      <c r="A599" s="28" t="s">
        <v>204</v>
      </c>
      <c r="B599" s="29" t="str">
        <f ca="1">IFERROR(INDEX(UNSPSCDes,MATCH(INDIRECT(ADDRESS(ROW(),COLUMN()-1,4)),UNSPSCCode,0)),IF(INDIRECT(ADDRESS(ROW(),COLUMN()-1,4))="39111517","Velas de Cera",""))</f>
        <v>Velas de Cera</v>
      </c>
      <c r="C599" s="30" t="str">
        <f>IFERROR(VLOOKUP("UD",'[1]Informacion '!P:Q,2,FALSE),"")</f>
        <v>Unidad</v>
      </c>
      <c r="D599" s="28">
        <v>18</v>
      </c>
      <c r="E599" s="31">
        <v>120</v>
      </c>
      <c r="F599" s="32">
        <f t="shared" ca="1" si="6"/>
        <v>2160</v>
      </c>
    </row>
    <row r="600" spans="1:6" x14ac:dyDescent="0.3">
      <c r="A600" s="28" t="s">
        <v>205</v>
      </c>
      <c r="B600" s="29" t="str">
        <f ca="1">IFERROR(INDEX(UNSPSCDes,MATCH(INDIRECT(ADDRESS(ROW(),COLUMN()-1,4)),UNSPSCCode,0)),IF(INDIRECT(ADDRESS(ROW(),COLUMN()-1,4))="47131801","Limpiadores de pisos",""))</f>
        <v>Limpiadores de pisos</v>
      </c>
      <c r="C600" s="30" t="str">
        <f>IFERROR(VLOOKUP("GAL",'[1]Informacion '!P:Q,2,FALSE),"")</f>
        <v>Galón</v>
      </c>
      <c r="D600" s="28">
        <v>9</v>
      </c>
      <c r="E600" s="31">
        <v>200</v>
      </c>
      <c r="F600" s="32">
        <f t="shared" ca="1" si="6"/>
        <v>1800</v>
      </c>
    </row>
    <row r="601" spans="1:6" x14ac:dyDescent="0.3">
      <c r="A601" s="28" t="s">
        <v>206</v>
      </c>
      <c r="B601" s="29" t="str">
        <f ca="1">IFERROR(INDEX(UNSPSCDes,MATCH(INDIRECT(ADDRESS(ROW(),COLUMN()-1,4)),UNSPSCCode,0)),IF(INDIRECT(ADDRESS(ROW(),COLUMN()-1,4))="14111704","Papel higiénico",""))</f>
        <v>Papel higiénico</v>
      </c>
      <c r="C601" s="30" t="str">
        <f>IFERROR(VLOOKUP("UD",'[1]Informacion '!P:Q,2,FALSE),"")</f>
        <v>Unidad</v>
      </c>
      <c r="D601" s="28">
        <v>800</v>
      </c>
      <c r="E601" s="31">
        <v>100</v>
      </c>
      <c r="F601" s="32">
        <f t="shared" ca="1" si="6"/>
        <v>80000</v>
      </c>
    </row>
    <row r="602" spans="1:6" x14ac:dyDescent="0.3">
      <c r="A602" s="28" t="s">
        <v>195</v>
      </c>
      <c r="B602" s="29" t="str">
        <f ca="1">IFERROR(INDEX(UNSPSCDes,MATCH(INDIRECT(ADDRESS(ROW(),COLUMN()-1,4)),UNSPSCCode,0)),IF(INDIRECT(ADDRESS(ROW(),COLUMN()-1,4))="14111705","Servilletas de papel",""))</f>
        <v>Servilletas de papel</v>
      </c>
      <c r="C602" s="30" t="str">
        <f>IFERROR(VLOOKUP("UD",'[1]Informacion '!P:Q,2,FALSE),"")</f>
        <v>Unidad</v>
      </c>
      <c r="D602" s="28">
        <v>800</v>
      </c>
      <c r="E602" s="31">
        <v>250</v>
      </c>
      <c r="F602" s="32">
        <f t="shared" ca="1" si="6"/>
        <v>200000</v>
      </c>
    </row>
    <row r="603" spans="1:6" x14ac:dyDescent="0.3">
      <c r="A603" s="28" t="s">
        <v>195</v>
      </c>
      <c r="B603" s="29" t="str">
        <f ca="1">IFERROR(INDEX(UNSPSCDes,MATCH(INDIRECT(ADDRESS(ROW(),COLUMN()-1,4)),UNSPSCCode,0)),IF(INDIRECT(ADDRESS(ROW(),COLUMN()-1,4))="14111705","Servilletas de papel",""))</f>
        <v>Servilletas de papel</v>
      </c>
      <c r="C603" s="30" t="str">
        <f>IFERROR(VLOOKUP("UD",'[1]Informacion '!P:Q,2,FALSE),"")</f>
        <v>Unidad</v>
      </c>
      <c r="D603" s="28">
        <v>80</v>
      </c>
      <c r="E603" s="31">
        <v>100</v>
      </c>
      <c r="F603" s="32">
        <f t="shared" ca="1" si="6"/>
        <v>8000</v>
      </c>
    </row>
    <row r="604" spans="1:6" x14ac:dyDescent="0.3">
      <c r="A604" s="28" t="s">
        <v>195</v>
      </c>
      <c r="B604" s="29" t="str">
        <f ca="1">IFERROR(INDEX(UNSPSCDes,MATCH(INDIRECT(ADDRESS(ROW(),COLUMN()-1,4)),UNSPSCCode,0)),IF(INDIRECT(ADDRESS(ROW(),COLUMN()-1,4))="14111705","Servilletas de papel",""))</f>
        <v>Servilletas de papel</v>
      </c>
      <c r="C604" s="30" t="str">
        <f>IFERROR(VLOOKUP("PAQ",'[1]Informacion '!P:Q,2,FALSE),"")</f>
        <v>Paquete</v>
      </c>
      <c r="D604" s="28">
        <v>110</v>
      </c>
      <c r="E604" s="31">
        <v>150</v>
      </c>
      <c r="F604" s="32">
        <f t="shared" ca="1" si="6"/>
        <v>16500</v>
      </c>
    </row>
    <row r="605" spans="1:6" x14ac:dyDescent="0.3">
      <c r="A605" s="28" t="s">
        <v>195</v>
      </c>
      <c r="B605" s="29" t="str">
        <f ca="1">IFERROR(INDEX(UNSPSCDes,MATCH(INDIRECT(ADDRESS(ROW(),COLUMN()-1,4)),UNSPSCCode,0)),IF(INDIRECT(ADDRESS(ROW(),COLUMN()-1,4))="14111705","Servilletas de papel",""))</f>
        <v>Servilletas de papel</v>
      </c>
      <c r="C605" s="30" t="str">
        <f>IFERROR(VLOOKUP("UD",'[1]Informacion '!P:Q,2,FALSE),"")</f>
        <v>Unidad</v>
      </c>
      <c r="D605" s="28">
        <v>150</v>
      </c>
      <c r="E605" s="31">
        <v>60</v>
      </c>
      <c r="F605" s="32">
        <f t="shared" ca="1" si="6"/>
        <v>9000</v>
      </c>
    </row>
    <row r="606" spans="1:6" x14ac:dyDescent="0.3">
      <c r="A606" s="28" t="s">
        <v>207</v>
      </c>
      <c r="B606" s="29" t="str">
        <f ca="1">IFERROR(INDEX(UNSPSCDes,MATCH(INDIRECT(ADDRESS(ROW(),COLUMN()-1,4)),UNSPSCCode,0)),IF(INDIRECT(ADDRESS(ROW(),COLUMN()-1,4))="14111706","Manteles de papel",""))</f>
        <v>Manteles de papel</v>
      </c>
      <c r="C606" s="30" t="str">
        <f>IFERROR(VLOOKUP("UD",'[1]Informacion '!P:Q,2,FALSE),"")</f>
        <v>Unidad</v>
      </c>
      <c r="D606" s="28">
        <v>1000</v>
      </c>
      <c r="E606" s="31">
        <v>7</v>
      </c>
      <c r="F606" s="32">
        <f t="shared" ca="1" si="6"/>
        <v>7000</v>
      </c>
    </row>
    <row r="607" spans="1:6" x14ac:dyDescent="0.3">
      <c r="A607" s="28" t="s">
        <v>208</v>
      </c>
      <c r="B607" s="29" t="str">
        <f ca="1">IFERROR(INDEX(UNSPSCDes,MATCH(INDIRECT(ADDRESS(ROW(),COLUMN()-1,4)),UNSPSCCode,0)),IF(INDIRECT(ADDRESS(ROW(),COLUMN()-1,4))="47131617","Traperos para polvo",""))</f>
        <v>Traperos para polvo</v>
      </c>
      <c r="C607" s="30" t="str">
        <f>IFERROR(VLOOKUP("UD",'[1]Informacion '!P:Q,2,FALSE),"")</f>
        <v>Unidad</v>
      </c>
      <c r="D607" s="28">
        <v>20</v>
      </c>
      <c r="E607" s="31">
        <v>250</v>
      </c>
      <c r="F607" s="32">
        <f t="shared" ca="1" si="6"/>
        <v>5000</v>
      </c>
    </row>
    <row r="608" spans="1:6" x14ac:dyDescent="0.3">
      <c r="A608" s="28" t="s">
        <v>209</v>
      </c>
      <c r="B608" s="29" t="str">
        <f ca="1">IFERROR(INDEX(UNSPSCDes,MATCH(INDIRECT(ADDRESS(ROW(),COLUMN()-1,4)),UNSPSCCode,0)),IF(INDIRECT(ADDRESS(ROW(),COLUMN()-1,4))="47131618","Traperos húmedos",""))</f>
        <v>Traperos húmedos</v>
      </c>
      <c r="C608" s="30" t="str">
        <f>IFERROR(VLOOKUP("UD",'[1]Informacion '!P:Q,2,FALSE),"")</f>
        <v>Unidad</v>
      </c>
      <c r="D608" s="28">
        <v>20</v>
      </c>
      <c r="E608" s="31">
        <v>180</v>
      </c>
      <c r="F608" s="32">
        <f t="shared" ca="1" si="6"/>
        <v>3600</v>
      </c>
    </row>
    <row r="609" spans="1:6" x14ac:dyDescent="0.3">
      <c r="A609" s="28" t="s">
        <v>210</v>
      </c>
      <c r="B609" s="29" t="str">
        <f ca="1">IFERROR(INDEX(UNSPSCDes,MATCH(INDIRECT(ADDRESS(ROW(),COLUMN()-1,4)),UNSPSCCode,0)),IF(INDIRECT(ADDRESS(ROW(),COLUMN()-1,4))="46181504","Guantes de protección",""))</f>
        <v>Guantes de protección</v>
      </c>
      <c r="C609" s="30" t="str">
        <f>IFERROR(VLOOKUP("PAQ",'[1]Informacion '!P:Q,2,FALSE),"")</f>
        <v>Paquete</v>
      </c>
      <c r="D609" s="28">
        <v>30</v>
      </c>
      <c r="E609" s="31">
        <v>80</v>
      </c>
      <c r="F609" s="32">
        <f t="shared" ca="1" si="6"/>
        <v>2400</v>
      </c>
    </row>
    <row r="610" spans="1:6" x14ac:dyDescent="0.3">
      <c r="A610" s="28" t="s">
        <v>211</v>
      </c>
      <c r="B610" s="29" t="str">
        <f ca="1">IFERROR(INDEX(UNSPSCDes,MATCH(INDIRECT(ADDRESS(ROW(),COLUMN()-1,4)),UNSPSCCode,0)),IF(INDIRECT(ADDRESS(ROW(),COLUMN()-1,4))="47131818","Antiséptico de aire",""))</f>
        <v>Antiséptico de aire</v>
      </c>
      <c r="C610" s="30" t="str">
        <f>IFERROR(VLOOKUP("UD",'[1]Informacion '!P:Q,2,FALSE),"")</f>
        <v>Unidad</v>
      </c>
      <c r="D610" s="28">
        <v>120</v>
      </c>
      <c r="E610" s="31">
        <v>500</v>
      </c>
      <c r="F610" s="32">
        <f t="shared" ca="1" si="6"/>
        <v>60000</v>
      </c>
    </row>
    <row r="611" spans="1:6" x14ac:dyDescent="0.3">
      <c r="A611" s="28" t="s">
        <v>212</v>
      </c>
      <c r="B611" s="29" t="str">
        <f ca="1">IFERROR(INDEX(UNSPSCDes,MATCH(INDIRECT(ADDRESS(ROW(),COLUMN()-1,4)),UNSPSCCode,0)),IF(INDIRECT(ADDRESS(ROW(),COLUMN()-1,4))="47131824","Limpiadores de vidrio o ventanas",""))</f>
        <v>Limpiadores de vidrio o ventanas</v>
      </c>
      <c r="C611" s="30" t="str">
        <f>IFERROR(VLOOKUP("UD",'[1]Informacion '!P:Q,2,FALSE),"")</f>
        <v>Unidad</v>
      </c>
      <c r="D611" s="28">
        <v>10</v>
      </c>
      <c r="E611" s="31">
        <v>110</v>
      </c>
      <c r="F611" s="32">
        <f t="shared" ca="1" si="6"/>
        <v>1100</v>
      </c>
    </row>
    <row r="612" spans="1:6" x14ac:dyDescent="0.3">
      <c r="A612" s="28" t="s">
        <v>213</v>
      </c>
      <c r="B612" s="29" t="str">
        <f ca="1">IFERROR(INDEX(UNSPSCDes,MATCH(INDIRECT(ADDRESS(ROW(),COLUMN()-1,4)),UNSPSCCode,0)),IF(INDIRECT(ADDRESS(ROW(),COLUMN()-1,4))="47131827","Limpiadores o removedores de manchas",""))</f>
        <v>Limpiadores o removedores de manchas</v>
      </c>
      <c r="C612" s="30" t="str">
        <f>IFERROR(VLOOKUP("UD",'[1]Informacion '!P:Q,2,FALSE),"")</f>
        <v>Unidad</v>
      </c>
      <c r="D612" s="28">
        <v>200</v>
      </c>
      <c r="E612" s="31">
        <v>200</v>
      </c>
      <c r="F612" s="32">
        <f t="shared" ca="1" si="6"/>
        <v>40000</v>
      </c>
    </row>
    <row r="613" spans="1:6" x14ac:dyDescent="0.3">
      <c r="A613" s="28" t="s">
        <v>193</v>
      </c>
      <c r="B613" s="29" t="str">
        <f ca="1">IFERROR(INDEX(UNSPSCDes,MATCH(INDIRECT(ADDRESS(ROW(),COLUMN()-1,4)),UNSPSCCode,0)),IF(INDIRECT(ADDRESS(ROW(),COLUMN()-1,4))="47131829","Limpiadores de baños",""))</f>
        <v>Limpiadores de baños</v>
      </c>
      <c r="C613" s="30" t="str">
        <f>IFERROR(VLOOKUP("UD",'[1]Informacion '!P:Q,2,FALSE),"")</f>
        <v>Unidad</v>
      </c>
      <c r="D613" s="28">
        <v>15</v>
      </c>
      <c r="E613" s="31">
        <v>200</v>
      </c>
      <c r="F613" s="32">
        <f t="shared" ca="1" si="6"/>
        <v>3000</v>
      </c>
    </row>
    <row r="614" spans="1:6" x14ac:dyDescent="0.3">
      <c r="A614" s="28" t="s">
        <v>204</v>
      </c>
      <c r="B614" s="29" t="str">
        <f ca="1">IFERROR(INDEX(UNSPSCDes,MATCH(INDIRECT(ADDRESS(ROW(),COLUMN()-1,4)),UNSPSCCode,0)),IF(INDIRECT(ADDRESS(ROW(),COLUMN()-1,4))="39111517","Velas de Cera",""))</f>
        <v>Velas de Cera</v>
      </c>
      <c r="C614" s="30" t="str">
        <f>IFERROR(VLOOKUP("UD",'[1]Informacion '!P:Q,2,FALSE),"")</f>
        <v>Unidad</v>
      </c>
      <c r="D614" s="28">
        <v>30</v>
      </c>
      <c r="E614" s="31">
        <v>165</v>
      </c>
      <c r="F614" s="32">
        <f t="shared" ca="1" si="6"/>
        <v>4950</v>
      </c>
    </row>
    <row r="615" spans="1:6" x14ac:dyDescent="0.3">
      <c r="A615" s="28" t="s">
        <v>190</v>
      </c>
      <c r="B615" s="29" t="str">
        <f ca="1">IFERROR(INDEX(UNSPSCDes,MATCH(INDIRECT(ADDRESS(ROW(),COLUMN()-1,4)),UNSPSCCode,0)),IF(INDIRECT(ADDRESS(ROW(),COLUMN()-1,4))="47131611","Recogedor de basura",""))</f>
        <v>Recogedor de basura</v>
      </c>
      <c r="C615" s="30" t="str">
        <f>IFERROR(VLOOKUP("UD",'[1]Informacion '!P:Q,2,FALSE),"")</f>
        <v>Unidad</v>
      </c>
      <c r="D615" s="28">
        <v>6</v>
      </c>
      <c r="E615" s="31">
        <v>145</v>
      </c>
      <c r="F615" s="32">
        <f t="shared" ca="1" si="6"/>
        <v>870</v>
      </c>
    </row>
    <row r="616" spans="1:6" x14ac:dyDescent="0.3">
      <c r="A616" s="28" t="s">
        <v>214</v>
      </c>
      <c r="B616" s="29" t="str">
        <f ca="1">IFERROR(INDEX(UNSPSCDes,MATCH(INDIRECT(ADDRESS(ROW(),COLUMN()-1,4)),UNSPSCCode,0)),IF(INDIRECT(ADDRESS(ROW(),COLUMN()-1,4))="47131608","Cepillos de baño",""))</f>
        <v>Cepillos de baño</v>
      </c>
      <c r="C616" s="30" t="str">
        <f>IFERROR(VLOOKUP("UD",'[1]Informacion '!P:Q,2,FALSE),"")</f>
        <v>Unidad</v>
      </c>
      <c r="D616" s="28">
        <v>8</v>
      </c>
      <c r="E616" s="31">
        <v>750</v>
      </c>
      <c r="F616" s="32">
        <f t="shared" ca="1" si="6"/>
        <v>6000</v>
      </c>
    </row>
    <row r="617" spans="1:6" x14ac:dyDescent="0.3">
      <c r="A617" s="28" t="s">
        <v>209</v>
      </c>
      <c r="B617" s="29" t="str">
        <f ca="1">IFERROR(INDEX(UNSPSCDes,MATCH(INDIRECT(ADDRESS(ROW(),COLUMN()-1,4)),UNSPSCCode,0)),IF(INDIRECT(ADDRESS(ROW(),COLUMN()-1,4))="47131618","Traperos húmedos",""))</f>
        <v>Traperos húmedos</v>
      </c>
      <c r="C617" s="30" t="str">
        <f>IFERROR(VLOOKUP("UD",'[1]Informacion '!P:Q,2,FALSE),"")</f>
        <v>Unidad</v>
      </c>
      <c r="D617" s="28">
        <v>12</v>
      </c>
      <c r="E617" s="31">
        <v>188</v>
      </c>
      <c r="F617" s="32">
        <f t="shared" ca="1" si="6"/>
        <v>2256</v>
      </c>
    </row>
    <row r="618" spans="1:6" x14ac:dyDescent="0.3">
      <c r="A618" s="19"/>
      <c r="B618" s="19"/>
      <c r="C618" s="19"/>
      <c r="D618" s="19"/>
      <c r="E618" s="33" t="s">
        <v>48</v>
      </c>
      <c r="F618" s="34">
        <f ca="1">SUM(Table43[MONTO TOTAL ESTIMADO])</f>
        <v>657883</v>
      </c>
    </row>
    <row r="619" spans="1:6" ht="15" thickBot="1" x14ac:dyDescent="0.35">
      <c r="A619" s="19"/>
      <c r="B619" s="19"/>
      <c r="C619" s="19"/>
      <c r="D619" s="19"/>
      <c r="E619" s="19"/>
      <c r="F619" s="19"/>
    </row>
    <row r="620" spans="1:6" ht="21" thickBot="1" x14ac:dyDescent="0.35">
      <c r="A620" s="20" t="s">
        <v>19</v>
      </c>
      <c r="B620" s="20" t="s">
        <v>20</v>
      </c>
      <c r="C620" s="20" t="s">
        <v>21</v>
      </c>
      <c r="D620" s="20" t="s">
        <v>22</v>
      </c>
      <c r="E620" s="20" t="s">
        <v>23</v>
      </c>
      <c r="F620" s="20" t="s">
        <v>24</v>
      </c>
    </row>
    <row r="621" spans="1:6" ht="15" thickBot="1" x14ac:dyDescent="0.35">
      <c r="A621" s="21" t="s">
        <v>215</v>
      </c>
      <c r="B621" s="21" t="s">
        <v>216</v>
      </c>
      <c r="C621" s="21" t="s">
        <v>60</v>
      </c>
      <c r="D621" s="21" t="s">
        <v>217</v>
      </c>
      <c r="E621" s="21" t="s">
        <v>54</v>
      </c>
      <c r="F621" s="21" t="s">
        <v>18</v>
      </c>
    </row>
    <row r="622" spans="1:6" ht="15" thickBot="1" x14ac:dyDescent="0.35">
      <c r="A622" s="41" t="s">
        <v>30</v>
      </c>
      <c r="B622" s="22" t="s">
        <v>31</v>
      </c>
      <c r="C622" s="23">
        <v>44972</v>
      </c>
      <c r="D622" s="41" t="s">
        <v>32</v>
      </c>
      <c r="E622" s="24" t="s">
        <v>33</v>
      </c>
      <c r="F622" s="25" t="s">
        <v>34</v>
      </c>
    </row>
    <row r="623" spans="1:6" ht="15" thickBot="1" x14ac:dyDescent="0.35">
      <c r="A623" s="42"/>
      <c r="B623" s="22" t="s">
        <v>35</v>
      </c>
      <c r="C623" s="26">
        <f>IF(C622="","",IF(AND(MONTH(C622)&gt;=1,MONTH(C622)&lt;=3),1,IF(AND(MONTH(C622)&gt;=4,MONTH(C622)&lt;=6),2,IF(AND(MONTH(C622)&gt;=7,MONTH(C622)&lt;=9),3,4))))</f>
        <v>1</v>
      </c>
      <c r="D623" s="42"/>
      <c r="E623" s="24" t="s">
        <v>36</v>
      </c>
      <c r="F623" s="25" t="s">
        <v>37</v>
      </c>
    </row>
    <row r="624" spans="1:6" ht="15" thickBot="1" x14ac:dyDescent="0.35">
      <c r="A624" s="42"/>
      <c r="B624" s="22" t="s">
        <v>38</v>
      </c>
      <c r="C624" s="23">
        <v>45000</v>
      </c>
      <c r="D624" s="42"/>
      <c r="E624" s="24" t="s">
        <v>39</v>
      </c>
      <c r="F624" s="25" t="s">
        <v>37</v>
      </c>
    </row>
    <row r="625" spans="1:6" ht="15" thickBot="1" x14ac:dyDescent="0.35">
      <c r="A625" s="42"/>
      <c r="B625" s="22" t="s">
        <v>35</v>
      </c>
      <c r="C625" s="26">
        <f>IF(C624="","",IF(AND(MONTH(C624)&gt;=1,MONTH(C624)&lt;=3),1,IF(AND(MONTH(C624)&gt;=4,MONTH(C624)&lt;=6),2,IF(AND(MONTH(C624)&gt;=7,MONTH(C624)&lt;=9),3,4))))</f>
        <v>1</v>
      </c>
      <c r="D625" s="42"/>
      <c r="E625" s="24" t="s">
        <v>40</v>
      </c>
      <c r="F625" s="25"/>
    </row>
    <row r="626" spans="1:6" ht="15" thickBot="1" x14ac:dyDescent="0.35">
      <c r="A626" s="19"/>
      <c r="B626" s="19"/>
      <c r="C626" s="19"/>
      <c r="D626" s="19"/>
      <c r="E626" s="19"/>
      <c r="F626" s="19"/>
    </row>
    <row r="627" spans="1:6" ht="15" thickBot="1" x14ac:dyDescent="0.35">
      <c r="A627" s="27" t="s">
        <v>41</v>
      </c>
      <c r="B627" s="27" t="s">
        <v>42</v>
      </c>
      <c r="C627" s="27" t="s">
        <v>43</v>
      </c>
      <c r="D627" s="27" t="s">
        <v>44</v>
      </c>
      <c r="E627" s="27" t="s">
        <v>45</v>
      </c>
      <c r="F627" s="27" t="s">
        <v>46</v>
      </c>
    </row>
    <row r="628" spans="1:6" x14ac:dyDescent="0.3">
      <c r="A628" s="28" t="s">
        <v>218</v>
      </c>
      <c r="B628" s="29" t="str">
        <f ca="1">IFERROR(INDEX(UNSPSCDes,MATCH(INDIRECT(ADDRESS(ROW(),COLUMN()-1,4)),UNSPSCCode,0)),IF(INDIRECT(ADDRESS(ROW(),COLUMN()-1,4))="44103103","Tóner para impresoras o fax",""))</f>
        <v>Tóner para impresoras o fax</v>
      </c>
      <c r="C628" s="30" t="str">
        <f>IFERROR(VLOOKUP("PAQ",'[1]Informacion '!P:Q,2,FALSE),"")</f>
        <v>Paquete</v>
      </c>
      <c r="D628" s="28">
        <v>1</v>
      </c>
      <c r="E628" s="31">
        <v>6240000</v>
      </c>
      <c r="F628" s="32">
        <f ca="1">INDIRECT(ADDRESS(ROW(),COLUMN()-2,4))*INDIRECT(ADDRESS(ROW(),COLUMN()-1,4))</f>
        <v>6240000</v>
      </c>
    </row>
    <row r="629" spans="1:6" x14ac:dyDescent="0.3">
      <c r="A629" s="19"/>
      <c r="B629" s="19"/>
      <c r="C629" s="19"/>
      <c r="D629" s="19"/>
      <c r="E629" s="33" t="s">
        <v>48</v>
      </c>
      <c r="F629" s="34">
        <f ca="1">SUM(Table44[MONTO TOTAL ESTIMADO])</f>
        <v>6240000</v>
      </c>
    </row>
    <row r="630" spans="1:6" ht="15" thickBot="1" x14ac:dyDescent="0.35">
      <c r="A630" s="19"/>
      <c r="B630" s="19"/>
      <c r="C630" s="19"/>
      <c r="D630" s="19"/>
      <c r="E630" s="19"/>
      <c r="F630" s="19"/>
    </row>
    <row r="631" spans="1:6" ht="21" thickBot="1" x14ac:dyDescent="0.35">
      <c r="A631" s="20" t="s">
        <v>19</v>
      </c>
      <c r="B631" s="20" t="s">
        <v>20</v>
      </c>
      <c r="C631" s="20" t="s">
        <v>21</v>
      </c>
      <c r="D631" s="20" t="s">
        <v>22</v>
      </c>
      <c r="E631" s="20" t="s">
        <v>23</v>
      </c>
      <c r="F631" s="20" t="s">
        <v>24</v>
      </c>
    </row>
    <row r="632" spans="1:6" ht="15" thickBot="1" x14ac:dyDescent="0.35">
      <c r="A632" s="21" t="s">
        <v>215</v>
      </c>
      <c r="B632" s="21" t="s">
        <v>216</v>
      </c>
      <c r="C632" s="21" t="s">
        <v>60</v>
      </c>
      <c r="D632" s="21" t="s">
        <v>217</v>
      </c>
      <c r="E632" s="21" t="s">
        <v>54</v>
      </c>
      <c r="F632" s="21" t="s">
        <v>18</v>
      </c>
    </row>
    <row r="633" spans="1:6" ht="15" thickBot="1" x14ac:dyDescent="0.35">
      <c r="A633" s="41" t="s">
        <v>30</v>
      </c>
      <c r="B633" s="22" t="s">
        <v>31</v>
      </c>
      <c r="C633" s="23">
        <v>45122</v>
      </c>
      <c r="D633" s="41" t="s">
        <v>32</v>
      </c>
      <c r="E633" s="24" t="s">
        <v>33</v>
      </c>
      <c r="F633" s="25" t="s">
        <v>34</v>
      </c>
    </row>
    <row r="634" spans="1:6" ht="15" thickBot="1" x14ac:dyDescent="0.35">
      <c r="A634" s="42"/>
      <c r="B634" s="22" t="s">
        <v>35</v>
      </c>
      <c r="C634" s="26">
        <f>IF(C633="","",IF(AND(MONTH(C633)&gt;=1,MONTH(C633)&lt;=3),1,IF(AND(MONTH(C633)&gt;=4,MONTH(C633)&lt;=6),2,IF(AND(MONTH(C633)&gt;=7,MONTH(C633)&lt;=9),3,4))))</f>
        <v>3</v>
      </c>
      <c r="D634" s="42"/>
      <c r="E634" s="24" t="s">
        <v>36</v>
      </c>
      <c r="F634" s="25" t="s">
        <v>37</v>
      </c>
    </row>
    <row r="635" spans="1:6" ht="15" thickBot="1" x14ac:dyDescent="0.35">
      <c r="A635" s="42"/>
      <c r="B635" s="22" t="s">
        <v>38</v>
      </c>
      <c r="C635" s="23">
        <v>45153</v>
      </c>
      <c r="D635" s="42"/>
      <c r="E635" s="24" t="s">
        <v>39</v>
      </c>
      <c r="F635" s="25" t="s">
        <v>37</v>
      </c>
    </row>
    <row r="636" spans="1:6" ht="15" thickBot="1" x14ac:dyDescent="0.35">
      <c r="A636" s="42"/>
      <c r="B636" s="22" t="s">
        <v>35</v>
      </c>
      <c r="C636" s="26">
        <f>IF(C635="","",IF(AND(MONTH(C635)&gt;=1,MONTH(C635)&lt;=3),1,IF(AND(MONTH(C635)&gt;=4,MONTH(C635)&lt;=6),2,IF(AND(MONTH(C635)&gt;=7,MONTH(C635)&lt;=9),3,4))))</f>
        <v>3</v>
      </c>
      <c r="D636" s="42"/>
      <c r="E636" s="24" t="s">
        <v>40</v>
      </c>
      <c r="F636" s="25"/>
    </row>
    <row r="637" spans="1:6" ht="15" thickBot="1" x14ac:dyDescent="0.35">
      <c r="A637" s="19"/>
      <c r="B637" s="19"/>
      <c r="C637" s="19"/>
      <c r="D637" s="19"/>
      <c r="E637" s="19"/>
      <c r="F637" s="19"/>
    </row>
    <row r="638" spans="1:6" ht="15" thickBot="1" x14ac:dyDescent="0.35">
      <c r="A638" s="27" t="s">
        <v>41</v>
      </c>
      <c r="B638" s="27" t="s">
        <v>42</v>
      </c>
      <c r="C638" s="27" t="s">
        <v>43</v>
      </c>
      <c r="D638" s="27" t="s">
        <v>44</v>
      </c>
      <c r="E638" s="27" t="s">
        <v>45</v>
      </c>
      <c r="F638" s="27" t="s">
        <v>46</v>
      </c>
    </row>
    <row r="639" spans="1:6" x14ac:dyDescent="0.3">
      <c r="A639" s="28" t="s">
        <v>218</v>
      </c>
      <c r="B639" s="29" t="str">
        <f ca="1">IFERROR(INDEX(UNSPSCDes,MATCH(INDIRECT(ADDRESS(ROW(),COLUMN()-1,4)),UNSPSCCode,0)),IF(INDIRECT(ADDRESS(ROW(),COLUMN()-1,4))="44103103","Tóner para impresoras o fax",""))</f>
        <v>Tóner para impresoras o fax</v>
      </c>
      <c r="C639" s="30" t="str">
        <f>IFERROR(VLOOKUP("PAQ",'[1]Informacion '!P:Q,2,FALSE),"")</f>
        <v>Paquete</v>
      </c>
      <c r="D639" s="28">
        <v>1</v>
      </c>
      <c r="E639" s="31">
        <v>10920000</v>
      </c>
      <c r="F639" s="32">
        <f ca="1">INDIRECT(ADDRESS(ROW(),COLUMN()-2,4))*INDIRECT(ADDRESS(ROW(),COLUMN()-1,4))</f>
        <v>10920000</v>
      </c>
    </row>
    <row r="640" spans="1:6" x14ac:dyDescent="0.3">
      <c r="A640" s="19"/>
      <c r="B640" s="19"/>
      <c r="C640" s="19"/>
      <c r="D640" s="19"/>
      <c r="E640" s="33" t="s">
        <v>48</v>
      </c>
      <c r="F640" s="34">
        <f ca="1">SUM(Table45[MONTO TOTAL ESTIMADO])</f>
        <v>10920000</v>
      </c>
    </row>
    <row r="641" spans="1:6" ht="15" thickBot="1" x14ac:dyDescent="0.35">
      <c r="A641" s="19"/>
      <c r="B641" s="19"/>
      <c r="C641" s="19"/>
      <c r="D641" s="19"/>
      <c r="E641" s="19"/>
      <c r="F641" s="19"/>
    </row>
    <row r="642" spans="1:6" ht="21" thickBot="1" x14ac:dyDescent="0.35">
      <c r="A642" s="20" t="s">
        <v>19</v>
      </c>
      <c r="B642" s="20" t="s">
        <v>20</v>
      </c>
      <c r="C642" s="20" t="s">
        <v>21</v>
      </c>
      <c r="D642" s="20" t="s">
        <v>22</v>
      </c>
      <c r="E642" s="20" t="s">
        <v>23</v>
      </c>
      <c r="F642" s="20" t="s">
        <v>24</v>
      </c>
    </row>
    <row r="643" spans="1:6" ht="15" thickBot="1" x14ac:dyDescent="0.35">
      <c r="A643" s="21" t="s">
        <v>219</v>
      </c>
      <c r="B643" s="21" t="s">
        <v>216</v>
      </c>
      <c r="C643" s="21" t="s">
        <v>60</v>
      </c>
      <c r="D643" s="21" t="s">
        <v>28</v>
      </c>
      <c r="E643" s="21" t="s">
        <v>29</v>
      </c>
      <c r="F643" s="21"/>
    </row>
    <row r="644" spans="1:6" ht="15" thickBot="1" x14ac:dyDescent="0.35">
      <c r="A644" s="41" t="s">
        <v>30</v>
      </c>
      <c r="B644" s="22" t="s">
        <v>31</v>
      </c>
      <c r="C644" s="23">
        <v>44971</v>
      </c>
      <c r="D644" s="41" t="s">
        <v>32</v>
      </c>
      <c r="E644" s="24" t="s">
        <v>33</v>
      </c>
      <c r="F644" s="25" t="s">
        <v>34</v>
      </c>
    </row>
    <row r="645" spans="1:6" ht="15" thickBot="1" x14ac:dyDescent="0.35">
      <c r="A645" s="42"/>
      <c r="B645" s="22" t="s">
        <v>35</v>
      </c>
      <c r="C645" s="26">
        <f>IF(C644="","",IF(AND(MONTH(C644)&gt;=1,MONTH(C644)&lt;=3),1,IF(AND(MONTH(C644)&gt;=4,MONTH(C644)&lt;=6),2,IF(AND(MONTH(C644)&gt;=7,MONTH(C644)&lt;=9),3,4))))</f>
        <v>1</v>
      </c>
      <c r="D645" s="42"/>
      <c r="E645" s="24" t="s">
        <v>36</v>
      </c>
      <c r="F645" s="25" t="s">
        <v>37</v>
      </c>
    </row>
    <row r="646" spans="1:6" ht="15" thickBot="1" x14ac:dyDescent="0.35">
      <c r="A646" s="42"/>
      <c r="B646" s="22" t="s">
        <v>38</v>
      </c>
      <c r="C646" s="23">
        <v>44985</v>
      </c>
      <c r="D646" s="42"/>
      <c r="E646" s="24" t="s">
        <v>39</v>
      </c>
      <c r="F646" s="25" t="s">
        <v>37</v>
      </c>
    </row>
    <row r="647" spans="1:6" ht="15" thickBot="1" x14ac:dyDescent="0.35">
      <c r="A647" s="42"/>
      <c r="B647" s="22" t="s">
        <v>35</v>
      </c>
      <c r="C647" s="26">
        <f>IF(C646="","",IF(AND(MONTH(C646)&gt;=1,MONTH(C646)&lt;=3),1,IF(AND(MONTH(C646)&gt;=4,MONTH(C646)&lt;=6),2,IF(AND(MONTH(C646)&gt;=7,MONTH(C646)&lt;=9),3,4))))</f>
        <v>1</v>
      </c>
      <c r="D647" s="42"/>
      <c r="E647" s="24" t="s">
        <v>40</v>
      </c>
      <c r="F647" s="25"/>
    </row>
    <row r="648" spans="1:6" ht="15" thickBot="1" x14ac:dyDescent="0.35">
      <c r="A648" s="19"/>
      <c r="B648" s="19"/>
      <c r="C648" s="19"/>
      <c r="D648" s="19"/>
      <c r="E648" s="19"/>
      <c r="F648" s="19"/>
    </row>
    <row r="649" spans="1:6" ht="15" thickBot="1" x14ac:dyDescent="0.35">
      <c r="A649" s="27" t="s">
        <v>41</v>
      </c>
      <c r="B649" s="27" t="s">
        <v>42</v>
      </c>
      <c r="C649" s="27" t="s">
        <v>43</v>
      </c>
      <c r="D649" s="27" t="s">
        <v>44</v>
      </c>
      <c r="E649" s="27" t="s">
        <v>45</v>
      </c>
      <c r="F649" s="27" t="s">
        <v>46</v>
      </c>
    </row>
    <row r="650" spans="1:6" x14ac:dyDescent="0.3">
      <c r="A650" s="28" t="s">
        <v>220</v>
      </c>
      <c r="B650" s="29" t="str">
        <f ca="1">IFERROR(INDEX(UNSPSCDes,MATCH(INDIRECT(ADDRESS(ROW(),COLUMN()-1,4)),UNSPSCCode,0)),IF(INDIRECT(ADDRESS(ROW(),COLUMN()-1,4))="44122003","Carpetas",""))</f>
        <v>Carpetas</v>
      </c>
      <c r="C650" s="30" t="str">
        <f>IFERROR(VLOOKUP("UD",'[1]Informacion '!P:Q,2,FALSE),"")</f>
        <v>Unidad</v>
      </c>
      <c r="D650" s="28">
        <v>200</v>
      </c>
      <c r="E650" s="31">
        <v>120</v>
      </c>
      <c r="F650" s="32">
        <f t="shared" ref="F650:F699" ca="1" si="7">INDIRECT(ADDRESS(ROW(),COLUMN()-2,4))*INDIRECT(ADDRESS(ROW(),COLUMN()-1,4))</f>
        <v>24000</v>
      </c>
    </row>
    <row r="651" spans="1:6" x14ac:dyDescent="0.3">
      <c r="A651" s="28" t="s">
        <v>220</v>
      </c>
      <c r="B651" s="29" t="str">
        <f ca="1">IFERROR(INDEX(UNSPSCDes,MATCH(INDIRECT(ADDRESS(ROW(),COLUMN()-1,4)),UNSPSCCode,0)),IF(INDIRECT(ADDRESS(ROW(),COLUMN()-1,4))="44122003","Carpetas",""))</f>
        <v>Carpetas</v>
      </c>
      <c r="C651" s="30" t="str">
        <f>IFERROR(VLOOKUP("UD",'[1]Informacion '!P:Q,2,FALSE),"")</f>
        <v>Unidad</v>
      </c>
      <c r="D651" s="28">
        <v>450</v>
      </c>
      <c r="E651" s="31">
        <v>225</v>
      </c>
      <c r="F651" s="32">
        <f t="shared" ca="1" si="7"/>
        <v>101250</v>
      </c>
    </row>
    <row r="652" spans="1:6" x14ac:dyDescent="0.3">
      <c r="A652" s="28" t="s">
        <v>220</v>
      </c>
      <c r="B652" s="29" t="str">
        <f ca="1">IFERROR(INDEX(UNSPSCDes,MATCH(INDIRECT(ADDRESS(ROW(),COLUMN()-1,4)),UNSPSCCode,0)),IF(INDIRECT(ADDRESS(ROW(),COLUMN()-1,4))="44122003","Carpetas",""))</f>
        <v>Carpetas</v>
      </c>
      <c r="C652" s="30" t="str">
        <f>IFERROR(VLOOKUP("UD",'[1]Informacion '!P:Q,2,FALSE),"")</f>
        <v>Unidad</v>
      </c>
      <c r="D652" s="28">
        <v>150</v>
      </c>
      <c r="E652" s="31">
        <v>520</v>
      </c>
      <c r="F652" s="32">
        <f t="shared" ca="1" si="7"/>
        <v>78000</v>
      </c>
    </row>
    <row r="653" spans="1:6" x14ac:dyDescent="0.3">
      <c r="A653" s="28" t="s">
        <v>220</v>
      </c>
      <c r="B653" s="29" t="str">
        <f ca="1">IFERROR(INDEX(UNSPSCDes,MATCH(INDIRECT(ADDRESS(ROW(),COLUMN()-1,4)),UNSPSCCode,0)),IF(INDIRECT(ADDRESS(ROW(),COLUMN()-1,4))="44122003","Carpetas",""))</f>
        <v>Carpetas</v>
      </c>
      <c r="C653" s="30" t="str">
        <f>IFERROR(VLOOKUP("UD",'[1]Informacion '!P:Q,2,FALSE),"")</f>
        <v>Unidad</v>
      </c>
      <c r="D653" s="28">
        <v>200</v>
      </c>
      <c r="E653" s="31">
        <v>185</v>
      </c>
      <c r="F653" s="32">
        <f t="shared" ca="1" si="7"/>
        <v>37000</v>
      </c>
    </row>
    <row r="654" spans="1:6" x14ac:dyDescent="0.3">
      <c r="A654" s="28" t="s">
        <v>221</v>
      </c>
      <c r="B654" s="29" t="str">
        <f ca="1">IFERROR(INDEX(UNSPSCDes,MATCH(INDIRECT(ADDRESS(ROW(),COLUMN()-1,4)),UNSPSCCode,0)),IF(INDIRECT(ADDRESS(ROW(),COLUMN()-1,4))="44111611","Clips para billetes",""))</f>
        <v>Clips para billetes</v>
      </c>
      <c r="C654" s="30" t="str">
        <f>IFERROR(VLOOKUP("CAJ",'[1]Informacion '!P:Q,2,FALSE),"")</f>
        <v>Caja</v>
      </c>
      <c r="D654" s="28">
        <v>200</v>
      </c>
      <c r="E654" s="31">
        <v>95</v>
      </c>
      <c r="F654" s="32">
        <f t="shared" ca="1" si="7"/>
        <v>19000</v>
      </c>
    </row>
    <row r="655" spans="1:6" x14ac:dyDescent="0.3">
      <c r="A655" s="28" t="s">
        <v>221</v>
      </c>
      <c r="B655" s="29" t="str">
        <f ca="1">IFERROR(INDEX(UNSPSCDes,MATCH(INDIRECT(ADDRESS(ROW(),COLUMN()-1,4)),UNSPSCCode,0)),IF(INDIRECT(ADDRESS(ROW(),COLUMN()-1,4))="44111611","Clips para billetes",""))</f>
        <v>Clips para billetes</v>
      </c>
      <c r="C655" s="30" t="str">
        <f>IFERROR(VLOOKUP("CAJ",'[1]Informacion '!P:Q,2,FALSE),"")</f>
        <v>Caja</v>
      </c>
      <c r="D655" s="28">
        <v>250</v>
      </c>
      <c r="E655" s="31">
        <v>195</v>
      </c>
      <c r="F655" s="32">
        <f t="shared" ca="1" si="7"/>
        <v>48750</v>
      </c>
    </row>
    <row r="656" spans="1:6" x14ac:dyDescent="0.3">
      <c r="A656" s="28" t="s">
        <v>221</v>
      </c>
      <c r="B656" s="29" t="str">
        <f ca="1">IFERROR(INDEX(UNSPSCDes,MATCH(INDIRECT(ADDRESS(ROW(),COLUMN()-1,4)),UNSPSCCode,0)),IF(INDIRECT(ADDRESS(ROW(),COLUMN()-1,4))="44111611","Clips para billetes",""))</f>
        <v>Clips para billetes</v>
      </c>
      <c r="C656" s="30" t="str">
        <f>IFERROR(VLOOKUP("CAJ",'[1]Informacion '!P:Q,2,FALSE),"")</f>
        <v>Caja</v>
      </c>
      <c r="D656" s="28">
        <v>300</v>
      </c>
      <c r="E656" s="31">
        <v>230</v>
      </c>
      <c r="F656" s="32">
        <f t="shared" ca="1" si="7"/>
        <v>69000</v>
      </c>
    </row>
    <row r="657" spans="1:6" x14ac:dyDescent="0.3">
      <c r="A657" s="28" t="s">
        <v>221</v>
      </c>
      <c r="B657" s="29" t="str">
        <f ca="1">IFERROR(INDEX(UNSPSCDes,MATCH(INDIRECT(ADDRESS(ROW(),COLUMN()-1,4)),UNSPSCCode,0)),IF(INDIRECT(ADDRESS(ROW(),COLUMN()-1,4))="44111611","Clips para billetes",""))</f>
        <v>Clips para billetes</v>
      </c>
      <c r="C657" s="30" t="str">
        <f>IFERROR(VLOOKUP("CAJ",'[1]Informacion '!P:Q,2,FALSE),"")</f>
        <v>Caja</v>
      </c>
      <c r="D657" s="28">
        <v>300</v>
      </c>
      <c r="E657" s="31">
        <v>260</v>
      </c>
      <c r="F657" s="32">
        <f t="shared" ca="1" si="7"/>
        <v>78000</v>
      </c>
    </row>
    <row r="658" spans="1:6" x14ac:dyDescent="0.3">
      <c r="A658" s="28" t="s">
        <v>222</v>
      </c>
      <c r="B658" s="29" t="str">
        <f ca="1">IFERROR(INDEX(UNSPSCDes,MATCH(INDIRECT(ADDRESS(ROW(),COLUMN()-1,4)),UNSPSCCode,0)),IF(INDIRECT(ADDRESS(ROW(),COLUMN()-1,4))="44122002","Protectores de hojas",""))</f>
        <v>Protectores de hojas</v>
      </c>
      <c r="C658" s="30" t="str">
        <f>IFERROR(VLOOKUP("PAQ",'[1]Informacion '!P:Q,2,FALSE),"")</f>
        <v>Paquete</v>
      </c>
      <c r="D658" s="28">
        <v>30</v>
      </c>
      <c r="E658" s="31">
        <v>300</v>
      </c>
      <c r="F658" s="32">
        <f t="shared" ca="1" si="7"/>
        <v>9000</v>
      </c>
    </row>
    <row r="659" spans="1:6" x14ac:dyDescent="0.3">
      <c r="A659" s="28" t="s">
        <v>221</v>
      </c>
      <c r="B659" s="29" t="str">
        <f ca="1">IFERROR(INDEX(UNSPSCDes,MATCH(INDIRECT(ADDRESS(ROW(),COLUMN()-1,4)),UNSPSCCode,0)),IF(INDIRECT(ADDRESS(ROW(),COLUMN()-1,4))="44111611","Clips para billetes",""))</f>
        <v>Clips para billetes</v>
      </c>
      <c r="C659" s="30" t="str">
        <f>IFERROR(VLOOKUP("CAJ",'[1]Informacion '!P:Q,2,FALSE),"")</f>
        <v>Caja</v>
      </c>
      <c r="D659" s="28">
        <v>200</v>
      </c>
      <c r="E659" s="31">
        <v>320</v>
      </c>
      <c r="F659" s="32">
        <f t="shared" ca="1" si="7"/>
        <v>64000</v>
      </c>
    </row>
    <row r="660" spans="1:6" x14ac:dyDescent="0.3">
      <c r="A660" s="28" t="s">
        <v>221</v>
      </c>
      <c r="B660" s="29" t="str">
        <f ca="1">IFERROR(INDEX(UNSPSCDes,MATCH(INDIRECT(ADDRESS(ROW(),COLUMN()-1,4)),UNSPSCCode,0)),IF(INDIRECT(ADDRESS(ROW(),COLUMN()-1,4))="44111611","Clips para billetes",""))</f>
        <v>Clips para billetes</v>
      </c>
      <c r="C660" s="30" t="str">
        <f>IFERROR(VLOOKUP("CAJ",'[1]Informacion '!P:Q,2,FALSE),"")</f>
        <v>Caja</v>
      </c>
      <c r="D660" s="28">
        <v>200</v>
      </c>
      <c r="E660" s="31">
        <v>400</v>
      </c>
      <c r="F660" s="32">
        <f t="shared" ca="1" si="7"/>
        <v>80000</v>
      </c>
    </row>
    <row r="661" spans="1:6" x14ac:dyDescent="0.3">
      <c r="A661" s="28" t="s">
        <v>223</v>
      </c>
      <c r="B661" s="29" t="str">
        <f ca="1">IFERROR(INDEX(UNSPSCDes,MATCH(INDIRECT(ADDRESS(ROW(),COLUMN()-1,4)),UNSPSCCode,0)),IF(INDIRECT(ADDRESS(ROW(),COLUMN()-1,4))="44121615","Grapadoras",""))</f>
        <v>Grapadoras</v>
      </c>
      <c r="C661" s="30" t="str">
        <f>IFERROR(VLOOKUP("UD",'[1]Informacion '!P:Q,2,FALSE),"")</f>
        <v>Unidad</v>
      </c>
      <c r="D661" s="28">
        <v>5</v>
      </c>
      <c r="E661" s="31">
        <v>2100</v>
      </c>
      <c r="F661" s="32">
        <f t="shared" ca="1" si="7"/>
        <v>10500</v>
      </c>
    </row>
    <row r="662" spans="1:6" x14ac:dyDescent="0.3">
      <c r="A662" s="28" t="s">
        <v>224</v>
      </c>
      <c r="B662" s="29" t="str">
        <f ca="1">IFERROR(INDEX(UNSPSCDes,MATCH(INDIRECT(ADDRESS(ROW(),COLUMN()-1,4)),UNSPSCCode,0)),IF(INDIRECT(ADDRESS(ROW(),COLUMN()-1,4))="44122107","Grapas",""))</f>
        <v>Grapas</v>
      </c>
      <c r="C662" s="30" t="str">
        <f>IFERROR(VLOOKUP("UD",'[1]Informacion '!P:Q,2,FALSE),"")</f>
        <v>Unidad</v>
      </c>
      <c r="D662" s="28">
        <v>200</v>
      </c>
      <c r="E662" s="31">
        <v>95</v>
      </c>
      <c r="F662" s="32">
        <f t="shared" ca="1" si="7"/>
        <v>19000</v>
      </c>
    </row>
    <row r="663" spans="1:6" x14ac:dyDescent="0.3">
      <c r="A663" s="28" t="s">
        <v>223</v>
      </c>
      <c r="B663" s="29" t="str">
        <f ca="1">IFERROR(INDEX(UNSPSCDes,MATCH(INDIRECT(ADDRESS(ROW(),COLUMN()-1,4)),UNSPSCCode,0)),IF(INDIRECT(ADDRESS(ROW(),COLUMN()-1,4))="44121615","Grapadoras",""))</f>
        <v>Grapadoras</v>
      </c>
      <c r="C663" s="30" t="str">
        <f>IFERROR(VLOOKUP("UD",'[1]Informacion '!P:Q,2,FALSE),"")</f>
        <v>Unidad</v>
      </c>
      <c r="D663" s="28">
        <v>350</v>
      </c>
      <c r="E663" s="31">
        <v>700</v>
      </c>
      <c r="F663" s="32">
        <f t="shared" ca="1" si="7"/>
        <v>245000</v>
      </c>
    </row>
    <row r="664" spans="1:6" x14ac:dyDescent="0.3">
      <c r="A664" s="28" t="s">
        <v>224</v>
      </c>
      <c r="B664" s="29" t="str">
        <f ca="1">IFERROR(INDEX(UNSPSCDes,MATCH(INDIRECT(ADDRESS(ROW(),COLUMN()-1,4)),UNSPSCCode,0)),IF(INDIRECT(ADDRESS(ROW(),COLUMN()-1,4))="44122107","Grapas",""))</f>
        <v>Grapas</v>
      </c>
      <c r="C664" s="30" t="str">
        <f>IFERROR(VLOOKUP("CAJ",'[1]Informacion '!P:Q,2,FALSE),"")</f>
        <v>Caja</v>
      </c>
      <c r="D664" s="28">
        <v>400</v>
      </c>
      <c r="E664" s="31">
        <v>95</v>
      </c>
      <c r="F664" s="32">
        <f t="shared" ca="1" si="7"/>
        <v>38000</v>
      </c>
    </row>
    <row r="665" spans="1:6" x14ac:dyDescent="0.3">
      <c r="A665" s="28" t="s">
        <v>225</v>
      </c>
      <c r="B665" s="29" t="str">
        <f ca="1">IFERROR(INDEX(UNSPSCDes,MATCH(INDIRECT(ADDRESS(ROW(),COLUMN()-1,4)),UNSPSCCode,0)),IF(INDIRECT(ADDRESS(ROW(),COLUMN()-1,4))="44111515","Cajas u organizadores de almacenamiento de archivos",""))</f>
        <v>Cajas u organizadores de almacenamiento de archivos</v>
      </c>
      <c r="C665" s="30" t="str">
        <f>IFERROR(VLOOKUP("UD",'[1]Informacion '!P:Q,2,FALSE),"")</f>
        <v>Unidad</v>
      </c>
      <c r="D665" s="28">
        <v>400</v>
      </c>
      <c r="E665" s="31">
        <v>350</v>
      </c>
      <c r="F665" s="32">
        <f t="shared" ca="1" si="7"/>
        <v>140000</v>
      </c>
    </row>
    <row r="666" spans="1:6" x14ac:dyDescent="0.3">
      <c r="A666" s="28" t="s">
        <v>226</v>
      </c>
      <c r="B666" s="29" t="str">
        <f ca="1">IFERROR(INDEX(UNSPSCDes,MATCH(INDIRECT(ADDRESS(ROW(),COLUMN()-1,4)),UNSPSCCode,0)),IF(INDIRECT(ADDRESS(ROW(),COLUMN()-1,4))="44122104","Clips para papel",""))</f>
        <v>Clips para papel</v>
      </c>
      <c r="C666" s="30" t="str">
        <f>IFERROR(VLOOKUP("CAJ",'[1]Informacion '!P:Q,2,FALSE),"")</f>
        <v>Caja</v>
      </c>
      <c r="D666" s="28">
        <v>400</v>
      </c>
      <c r="E666" s="31">
        <v>25</v>
      </c>
      <c r="F666" s="32">
        <f t="shared" ca="1" si="7"/>
        <v>10000</v>
      </c>
    </row>
    <row r="667" spans="1:6" x14ac:dyDescent="0.3">
      <c r="A667" s="28" t="s">
        <v>227</v>
      </c>
      <c r="B667" s="29" t="str">
        <f ca="1">IFERROR(INDEX(UNSPSCDes,MATCH(INDIRECT(ADDRESS(ROW(),COLUMN()-1,4)),UNSPSCCode,0)),IF(INDIRECT(ADDRESS(ROW(),COLUMN()-1,4))="44111503","Organizadores o bandejas para el escritorio",""))</f>
        <v>Organizadores o bandejas para el escritorio</v>
      </c>
      <c r="C667" s="30" t="str">
        <f>IFERROR(VLOOKUP("UD",'[1]Informacion '!P:Q,2,FALSE),"")</f>
        <v>Unidad</v>
      </c>
      <c r="D667" s="28">
        <v>150</v>
      </c>
      <c r="E667" s="31">
        <v>350</v>
      </c>
      <c r="F667" s="32">
        <f t="shared" ca="1" si="7"/>
        <v>52500</v>
      </c>
    </row>
    <row r="668" spans="1:6" x14ac:dyDescent="0.3">
      <c r="A668" s="28" t="s">
        <v>228</v>
      </c>
      <c r="B668" s="29" t="str">
        <f ca="1">IFERROR(INDEX(UNSPSCDes,MATCH(INDIRECT(ADDRESS(ROW(),COLUMN()-1,4)),UNSPSCCode,0)),IF(INDIRECT(ADDRESS(ROW(),COLUMN()-1,4))="44121701","Bolígrafos",""))</f>
        <v>Bolígrafos</v>
      </c>
      <c r="C668" s="30" t="str">
        <f>IFERROR(VLOOKUP("CAJ",'[1]Informacion '!P:Q,2,FALSE),"")</f>
        <v>Caja</v>
      </c>
      <c r="D668" s="28">
        <v>800</v>
      </c>
      <c r="E668" s="31">
        <v>80</v>
      </c>
      <c r="F668" s="32">
        <f t="shared" ca="1" si="7"/>
        <v>64000</v>
      </c>
    </row>
    <row r="669" spans="1:6" x14ac:dyDescent="0.3">
      <c r="A669" s="28" t="s">
        <v>229</v>
      </c>
      <c r="B669" s="29" t="str">
        <f ca="1">IFERROR(INDEX(UNSPSCDes,MATCH(INDIRECT(ADDRESS(ROW(),COLUMN()-1,4)),UNSPSCCode,0)),IF(INDIRECT(ADDRESS(ROW(),COLUMN()-1,4))="44121706","Lápices de madera",""))</f>
        <v>Lápices de madera</v>
      </c>
      <c r="C669" s="30" t="str">
        <f>IFERROR(VLOOKUP("CAJ",'[1]Informacion '!P:Q,2,FALSE),"")</f>
        <v>Caja</v>
      </c>
      <c r="D669" s="28">
        <v>100</v>
      </c>
      <c r="E669" s="31">
        <v>112</v>
      </c>
      <c r="F669" s="32">
        <f t="shared" ca="1" si="7"/>
        <v>11200</v>
      </c>
    </row>
    <row r="670" spans="1:6" x14ac:dyDescent="0.3">
      <c r="A670" s="28" t="s">
        <v>230</v>
      </c>
      <c r="B670" s="29" t="str">
        <f ca="1">IFERROR(INDEX(UNSPSCDes,MATCH(INDIRECT(ADDRESS(ROW(),COLUMN()-1,4)),UNSPSCCode,0)),IF(INDIRECT(ADDRESS(ROW(),COLUMN()-1,4))="44122018","Insertos o pestañas para archivos",""))</f>
        <v>Insertos o pestañas para archivos</v>
      </c>
      <c r="C670" s="30" t="str">
        <f>IFERROR(VLOOKUP("PAQ",'[1]Informacion '!P:Q,2,FALSE),"")</f>
        <v>Paquete</v>
      </c>
      <c r="D670" s="28">
        <v>1000</v>
      </c>
      <c r="E670" s="31">
        <v>50</v>
      </c>
      <c r="F670" s="32">
        <f t="shared" ca="1" si="7"/>
        <v>50000</v>
      </c>
    </row>
    <row r="671" spans="1:6" x14ac:dyDescent="0.3">
      <c r="A671" s="28" t="s">
        <v>231</v>
      </c>
      <c r="B671" s="29" t="str">
        <f ca="1">IFERROR(INDEX(UNSPSCDes,MATCH(INDIRECT(ADDRESS(ROW(),COLUMN()-1,4)),UNSPSCCode,0)),IF(INDIRECT(ADDRESS(ROW(),COLUMN()-1,4))="44121714","Asideras para lápices o esferos",""))</f>
        <v>Asideras para lápices o esferos</v>
      </c>
      <c r="C671" s="30" t="str">
        <f>IFERROR(VLOOKUP("UD",'[1]Informacion '!P:Q,2,FALSE),"")</f>
        <v>Unidad</v>
      </c>
      <c r="D671" s="28">
        <v>200</v>
      </c>
      <c r="E671" s="31">
        <v>150</v>
      </c>
      <c r="F671" s="32">
        <f t="shared" ca="1" si="7"/>
        <v>30000</v>
      </c>
    </row>
    <row r="672" spans="1:6" x14ac:dyDescent="0.3">
      <c r="A672" s="28" t="s">
        <v>232</v>
      </c>
      <c r="B672" s="29" t="str">
        <f ca="1">IFERROR(INDEX(UNSPSCDes,MATCH(INDIRECT(ADDRESS(ROW(),COLUMN()-1,4)),UNSPSCCode,0)),IF(INDIRECT(ADDRESS(ROW(),COLUMN()-1,4))="60121535","Borradores de goma",""))</f>
        <v>Borradores de goma</v>
      </c>
      <c r="C672" s="30" t="str">
        <f>IFERROR(VLOOKUP("UD",'[1]Informacion '!P:Q,2,FALSE),"")</f>
        <v>Unidad</v>
      </c>
      <c r="D672" s="28">
        <v>40</v>
      </c>
      <c r="E672" s="31">
        <v>6</v>
      </c>
      <c r="F672" s="32">
        <f t="shared" ca="1" si="7"/>
        <v>240</v>
      </c>
    </row>
    <row r="673" spans="1:6" x14ac:dyDescent="0.3">
      <c r="A673" s="28" t="s">
        <v>233</v>
      </c>
      <c r="B673" s="29" t="str">
        <f ca="1">IFERROR(INDEX(UNSPSCDes,MATCH(INDIRECT(ADDRESS(ROW(),COLUMN()-1,4)),UNSPSCCode,0)),IF(INDIRECT(ADDRESS(ROW(),COLUMN()-1,4))="44121905","Almohadillas de tinta o estampillas",""))</f>
        <v>Almohadillas de tinta o estampillas</v>
      </c>
      <c r="C673" s="30" t="str">
        <f>IFERROR(VLOOKUP("UD",'[1]Informacion '!P:Q,2,FALSE),"")</f>
        <v>Unidad</v>
      </c>
      <c r="D673" s="28">
        <v>50</v>
      </c>
      <c r="E673" s="31">
        <v>115</v>
      </c>
      <c r="F673" s="32">
        <f t="shared" ca="1" si="7"/>
        <v>5750</v>
      </c>
    </row>
    <row r="674" spans="1:6" x14ac:dyDescent="0.3">
      <c r="A674" s="28" t="s">
        <v>234</v>
      </c>
      <c r="B674" s="29" t="str">
        <f ca="1">IFERROR(INDEX(UNSPSCDes,MATCH(INDIRECT(ADDRESS(ROW(),COLUMN()-1,4)),UNSPSCCode,0)),IF(INDIRECT(ADDRESS(ROW(),COLUMN()-1,4))="44121904","Repuestos de tinta",""))</f>
        <v>Repuestos de tinta</v>
      </c>
      <c r="C674" s="30" t="str">
        <f>IFERROR(VLOOKUP("UD",'[1]Informacion '!P:Q,2,FALSE),"")</f>
        <v>Unidad</v>
      </c>
      <c r="D674" s="28">
        <v>20</v>
      </c>
      <c r="E674" s="31">
        <v>55</v>
      </c>
      <c r="F674" s="32">
        <f t="shared" ca="1" si="7"/>
        <v>1100</v>
      </c>
    </row>
    <row r="675" spans="1:6" x14ac:dyDescent="0.3">
      <c r="A675" s="28" t="s">
        <v>235</v>
      </c>
      <c r="B675" s="29" t="str">
        <f ca="1">IFERROR(INDEX(UNSPSCDes,MATCH(INDIRECT(ADDRESS(ROW(),COLUMN()-1,4)),UNSPSCCode,0)),IF(INDIRECT(ADDRESS(ROW(),COLUMN()-1,4))="55121804","Gafetes o porta gafetes",""))</f>
        <v>Gafetes o porta gafetes</v>
      </c>
      <c r="C675" s="30" t="str">
        <f>IFERROR(VLOOKUP("UD",'[1]Informacion '!P:Q,2,FALSE),"")</f>
        <v>Unidad</v>
      </c>
      <c r="D675" s="28">
        <v>100</v>
      </c>
      <c r="E675" s="31">
        <v>55</v>
      </c>
      <c r="F675" s="32">
        <f t="shared" ca="1" si="7"/>
        <v>5500</v>
      </c>
    </row>
    <row r="676" spans="1:6" x14ac:dyDescent="0.3">
      <c r="A676" s="28" t="s">
        <v>226</v>
      </c>
      <c r="B676" s="29" t="str">
        <f ca="1">IFERROR(INDEX(UNSPSCDes,MATCH(INDIRECT(ADDRESS(ROW(),COLUMN()-1,4)),UNSPSCCode,0)),IF(INDIRECT(ADDRESS(ROW(),COLUMN()-1,4))="44122104","Clips para papel",""))</f>
        <v>Clips para papel</v>
      </c>
      <c r="C676" s="30" t="str">
        <f>IFERROR(VLOOKUP("CAJ",'[1]Informacion '!P:Q,2,FALSE),"")</f>
        <v>Caja</v>
      </c>
      <c r="D676" s="28">
        <v>500</v>
      </c>
      <c r="E676" s="31">
        <v>60</v>
      </c>
      <c r="F676" s="32">
        <f t="shared" ca="1" si="7"/>
        <v>30000</v>
      </c>
    </row>
    <row r="677" spans="1:6" x14ac:dyDescent="0.3">
      <c r="A677" s="28" t="s">
        <v>236</v>
      </c>
      <c r="B677" s="29" t="str">
        <f ca="1">IFERROR(INDEX(UNSPSCDes,MATCH(INDIRECT(ADDRESS(ROW(),COLUMN()-1,4)),UNSPSCCode,0)),IF(INDIRECT(ADDRESS(ROW(),COLUMN()-1,4))="31201516","Cinta reflectiva",""))</f>
        <v>Cinta reflectiva</v>
      </c>
      <c r="C677" s="30" t="str">
        <f>IFERROR(VLOOKUP("UD",'[1]Informacion '!P:Q,2,FALSE),"")</f>
        <v>Unidad</v>
      </c>
      <c r="D677" s="28">
        <v>50</v>
      </c>
      <c r="E677" s="31">
        <v>55</v>
      </c>
      <c r="F677" s="32">
        <f t="shared" ca="1" si="7"/>
        <v>2750</v>
      </c>
    </row>
    <row r="678" spans="1:6" x14ac:dyDescent="0.3">
      <c r="A678" s="28" t="s">
        <v>237</v>
      </c>
      <c r="B678" s="29" t="str">
        <f ca="1">IFERROR(INDEX(UNSPSCDes,MATCH(INDIRECT(ADDRESS(ROW(),COLUMN()-1,4)),UNSPSCCode,0)),IF(INDIRECT(ADDRESS(ROW(),COLUMN()-1,4))="31201517","Cinta para empaquetar",""))</f>
        <v>Cinta para empaquetar</v>
      </c>
      <c r="C678" s="30" t="str">
        <f>IFERROR(VLOOKUP("UD",'[1]Informacion '!P:Q,2,FALSE),"")</f>
        <v>Unidad</v>
      </c>
      <c r="D678" s="28">
        <v>300</v>
      </c>
      <c r="E678" s="31">
        <v>85</v>
      </c>
      <c r="F678" s="32">
        <f t="shared" ca="1" si="7"/>
        <v>25500</v>
      </c>
    </row>
    <row r="679" spans="1:6" x14ac:dyDescent="0.3">
      <c r="A679" s="28" t="s">
        <v>238</v>
      </c>
      <c r="B679" s="29" t="str">
        <f ca="1">IFERROR(INDEX(UNSPSCDes,MATCH(INDIRECT(ADDRESS(ROW(),COLUMN()-1,4)),UNSPSCCode,0)),IF(INDIRECT(ADDRESS(ROW(),COLUMN()-1,4))="44121635","Husos para cinta adhesiva",""))</f>
        <v>Husos para cinta adhesiva</v>
      </c>
      <c r="C679" s="30" t="str">
        <f>IFERROR(VLOOKUP("UD",'[1]Informacion '!P:Q,2,FALSE),"")</f>
        <v>Unidad</v>
      </c>
      <c r="D679" s="28">
        <v>100</v>
      </c>
      <c r="E679" s="31">
        <v>125</v>
      </c>
      <c r="F679" s="32">
        <f t="shared" ca="1" si="7"/>
        <v>12500</v>
      </c>
    </row>
    <row r="680" spans="1:6" x14ac:dyDescent="0.3">
      <c r="A680" s="28" t="s">
        <v>239</v>
      </c>
      <c r="B680" s="29" t="str">
        <f ca="1">IFERROR(INDEX(UNSPSCDes,MATCH(INDIRECT(ADDRESS(ROW(),COLUMN()-1,4)),UNSPSCCode,0)),IF(INDIRECT(ADDRESS(ROW(),COLUMN()-1,4))="43201809","Disco compacto cd de lectura y escritura",""))</f>
        <v>Disco compacto cd de lectura y escritura</v>
      </c>
      <c r="C680" s="30" t="str">
        <f>IFERROR(VLOOKUP("PAQ",'[1]Informacion '!P:Q,2,FALSE),"")</f>
        <v>Paquete</v>
      </c>
      <c r="D680" s="28">
        <v>30</v>
      </c>
      <c r="E680" s="31">
        <v>350</v>
      </c>
      <c r="F680" s="32">
        <f t="shared" ca="1" si="7"/>
        <v>10500</v>
      </c>
    </row>
    <row r="681" spans="1:6" x14ac:dyDescent="0.3">
      <c r="A681" s="28" t="s">
        <v>240</v>
      </c>
      <c r="B681" s="29" t="str">
        <f ca="1">IFERROR(INDEX(UNSPSCDes,MATCH(INDIRECT(ADDRESS(ROW(),COLUMN()-1,4)),UNSPSCCode,0)),IF(INDIRECT(ADDRESS(ROW(),COLUMN()-1,4))="43201811","Disco versátil digital dvd de lectura y escritura",""))</f>
        <v>Disco versátil digital dvd de lectura y escritura</v>
      </c>
      <c r="C681" s="30" t="str">
        <f>IFERROR(VLOOKUP("PAQ",'[1]Informacion '!P:Q,2,FALSE),"")</f>
        <v>Paquete</v>
      </c>
      <c r="D681" s="28">
        <v>30</v>
      </c>
      <c r="E681" s="31">
        <v>250</v>
      </c>
      <c r="F681" s="32">
        <f t="shared" ca="1" si="7"/>
        <v>7500</v>
      </c>
    </row>
    <row r="682" spans="1:6" x14ac:dyDescent="0.3">
      <c r="A682" s="28" t="s">
        <v>241</v>
      </c>
      <c r="B682" s="29" t="str">
        <f ca="1">IFERROR(INDEX(UNSPSCDes,MATCH(INDIRECT(ADDRESS(ROW(),COLUMN()-1,4)),UNSPSCCode,0)),IF(INDIRECT(ADDRESS(ROW(),COLUMN()-1,4))="41111604","Reglas",""))</f>
        <v>Reglas</v>
      </c>
      <c r="C682" s="30" t="str">
        <f>IFERROR(VLOOKUP("UD",'[1]Informacion '!P:Q,2,FALSE),"")</f>
        <v>Unidad</v>
      </c>
      <c r="D682" s="28">
        <v>20</v>
      </c>
      <c r="E682" s="31">
        <v>55</v>
      </c>
      <c r="F682" s="32">
        <f t="shared" ca="1" si="7"/>
        <v>1100</v>
      </c>
    </row>
    <row r="683" spans="1:6" x14ac:dyDescent="0.3">
      <c r="A683" s="28" t="s">
        <v>242</v>
      </c>
      <c r="B683" s="29" t="str">
        <f ca="1">IFERROR(INDEX(UNSPSCDes,MATCH(INDIRECT(ADDRESS(ROW(),COLUMN()-1,4)),UNSPSCCode,0)),IF(INDIRECT(ADDRESS(ROW(),COLUMN()-1,4))="44122012","Portapapeles",""))</f>
        <v>Portapapeles</v>
      </c>
      <c r="C683" s="30" t="str">
        <f>IFERROR(VLOOKUP("UD",'[1]Informacion '!P:Q,2,FALSE),"")</f>
        <v>Unidad</v>
      </c>
      <c r="D683" s="28">
        <v>200</v>
      </c>
      <c r="E683" s="31">
        <v>85</v>
      </c>
      <c r="F683" s="32">
        <f t="shared" ca="1" si="7"/>
        <v>17000</v>
      </c>
    </row>
    <row r="684" spans="1:6" x14ac:dyDescent="0.3">
      <c r="A684" s="28" t="s">
        <v>243</v>
      </c>
      <c r="B684" s="29" t="str">
        <f ca="1">IFERROR(INDEX(UNSPSCDes,MATCH(INDIRECT(ADDRESS(ROW(),COLUMN()-1,4)),UNSPSCCode,0)),IF(INDIRECT(ADDRESS(ROW(),COLUMN()-1,4))="44121618","Tijeras",""))</f>
        <v>Tijeras</v>
      </c>
      <c r="C684" s="30" t="str">
        <f>IFERROR(VLOOKUP("UD",'[1]Informacion '!P:Q,2,FALSE),"")</f>
        <v>Unidad</v>
      </c>
      <c r="D684" s="28">
        <v>200</v>
      </c>
      <c r="E684" s="31">
        <v>115</v>
      </c>
      <c r="F684" s="32">
        <f t="shared" ca="1" si="7"/>
        <v>23000</v>
      </c>
    </row>
    <row r="685" spans="1:6" x14ac:dyDescent="0.3">
      <c r="A685" s="28" t="s">
        <v>244</v>
      </c>
      <c r="B685" s="29" t="str">
        <f ca="1">IFERROR(INDEX(UNSPSCDes,MATCH(INDIRECT(ADDRESS(ROW(),COLUMN()-1,4)),UNSPSCCode,0)),IF(INDIRECT(ADDRESS(ROW(),COLUMN()-1,4))="44101801","Calculadoras o accesorios",""))</f>
        <v>Calculadoras o accesorios</v>
      </c>
      <c r="C685" s="30" t="str">
        <f>IFERROR(VLOOKUP("UD",'[1]Informacion '!P:Q,2,FALSE),"")</f>
        <v>Unidad</v>
      </c>
      <c r="D685" s="28">
        <v>30</v>
      </c>
      <c r="E685" s="31">
        <v>350</v>
      </c>
      <c r="F685" s="32">
        <f t="shared" ca="1" si="7"/>
        <v>10500</v>
      </c>
    </row>
    <row r="686" spans="1:6" x14ac:dyDescent="0.3">
      <c r="A686" s="28" t="s">
        <v>245</v>
      </c>
      <c r="B686" s="29" t="str">
        <f ca="1">IFERROR(INDEX(UNSPSCDes,MATCH(INDIRECT(ADDRESS(ROW(),COLUMN()-1,4)),UNSPSCCode,0)),IF(INDIRECT(ADDRESS(ROW(),COLUMN()-1,4))="44121613","Removedores de grapas (saca ganchos)",""))</f>
        <v>Removedores de grapas (saca ganchos)</v>
      </c>
      <c r="C686" s="30" t="str">
        <f>IFERROR(VLOOKUP("UD",'[1]Informacion '!P:Q,2,FALSE),"")</f>
        <v>Unidad</v>
      </c>
      <c r="D686" s="28">
        <v>300</v>
      </c>
      <c r="E686" s="31">
        <v>45</v>
      </c>
      <c r="F686" s="32">
        <f t="shared" ca="1" si="7"/>
        <v>13500</v>
      </c>
    </row>
    <row r="687" spans="1:6" x14ac:dyDescent="0.3">
      <c r="A687" s="28" t="s">
        <v>246</v>
      </c>
      <c r="B687" s="29" t="str">
        <f ca="1">IFERROR(INDEX(UNSPSCDes,MATCH(INDIRECT(ADDRESS(ROW(),COLUMN()-1,4)),UNSPSCCode,0)),IF(INDIRECT(ADDRESS(ROW(),COLUMN()-1,4))="44121802","Fluido de corrección",""))</f>
        <v>Fluido de corrección</v>
      </c>
      <c r="C687" s="30" t="str">
        <f>IFERROR(VLOOKUP("UD",'[1]Informacion '!P:Q,2,FALSE),"")</f>
        <v>Unidad</v>
      </c>
      <c r="D687" s="28">
        <v>100</v>
      </c>
      <c r="E687" s="31">
        <v>62</v>
      </c>
      <c r="F687" s="32">
        <f t="shared" ca="1" si="7"/>
        <v>6200</v>
      </c>
    </row>
    <row r="688" spans="1:6" x14ac:dyDescent="0.3">
      <c r="A688" s="28" t="s">
        <v>246</v>
      </c>
      <c r="B688" s="29" t="str">
        <f ca="1">IFERROR(INDEX(UNSPSCDes,MATCH(INDIRECT(ADDRESS(ROW(),COLUMN()-1,4)),UNSPSCCode,0)),IF(INDIRECT(ADDRESS(ROW(),COLUMN()-1,4))="44121802","Fluido de corrección",""))</f>
        <v>Fluido de corrección</v>
      </c>
      <c r="C688" s="30" t="str">
        <f>IFERROR(VLOOKUP("UD",'[1]Informacion '!P:Q,2,FALSE),"")</f>
        <v>Unidad</v>
      </c>
      <c r="D688" s="28">
        <v>100</v>
      </c>
      <c r="E688" s="31">
        <v>65</v>
      </c>
      <c r="F688" s="32">
        <f t="shared" ca="1" si="7"/>
        <v>6500</v>
      </c>
    </row>
    <row r="689" spans="1:6" x14ac:dyDescent="0.3">
      <c r="A689" s="28" t="s">
        <v>247</v>
      </c>
      <c r="B689" s="29" t="str">
        <f ca="1">IFERROR(INDEX(UNSPSCDes,MATCH(INDIRECT(ADDRESS(ROW(),COLUMN()-1,4)),UNSPSCCode,0)),IF(INDIRECT(ADDRESS(ROW(),COLUMN()-1,4))="44122105","Clips para carpetas o bulldog",""))</f>
        <v>Clips para carpetas o bulldog</v>
      </c>
      <c r="C689" s="30" t="str">
        <f>IFERROR(VLOOKUP("PAQ",'[1]Informacion '!P:Q,2,FALSE),"")</f>
        <v>Paquete</v>
      </c>
      <c r="D689" s="28">
        <v>20</v>
      </c>
      <c r="E689" s="31">
        <v>44</v>
      </c>
      <c r="F689" s="32">
        <f t="shared" ca="1" si="7"/>
        <v>880</v>
      </c>
    </row>
    <row r="690" spans="1:6" x14ac:dyDescent="0.3">
      <c r="A690" s="28" t="s">
        <v>245</v>
      </c>
      <c r="B690" s="29" t="str">
        <f ca="1">IFERROR(INDEX(UNSPSCDes,MATCH(INDIRECT(ADDRESS(ROW(),COLUMN()-1,4)),UNSPSCCode,0)),IF(INDIRECT(ADDRESS(ROW(),COLUMN()-1,4))="44121613","Removedores de grapas (saca ganchos)",""))</f>
        <v>Removedores de grapas (saca ganchos)</v>
      </c>
      <c r="C690" s="30" t="str">
        <f>IFERROR(VLOOKUP("UD",'[1]Informacion '!P:Q,2,FALSE),"")</f>
        <v>Unidad</v>
      </c>
      <c r="D690" s="28">
        <v>50</v>
      </c>
      <c r="E690" s="31">
        <v>50</v>
      </c>
      <c r="F690" s="32">
        <f t="shared" ca="1" si="7"/>
        <v>2500</v>
      </c>
    </row>
    <row r="691" spans="1:6" x14ac:dyDescent="0.3">
      <c r="A691" s="28" t="s">
        <v>248</v>
      </c>
      <c r="B691" s="29" t="str">
        <f ca="1">IFERROR(INDEX(UNSPSCDes,MATCH(INDIRECT(ADDRESS(ROW(),COLUMN()-1,4)),UNSPSCCode,0)),IF(INDIRECT(ADDRESS(ROW(),COLUMN()-1,4))="24112404","Caja",""))</f>
        <v>Caja</v>
      </c>
      <c r="C691" s="30" t="str">
        <f>IFERROR(VLOOKUP("UD",'[1]Informacion '!P:Q,2,FALSE),"")</f>
        <v>Unidad</v>
      </c>
      <c r="D691" s="28">
        <v>40</v>
      </c>
      <c r="E691" s="31">
        <v>110</v>
      </c>
      <c r="F691" s="32">
        <f t="shared" ca="1" si="7"/>
        <v>4400</v>
      </c>
    </row>
    <row r="692" spans="1:6" x14ac:dyDescent="0.3">
      <c r="A692" s="28" t="s">
        <v>249</v>
      </c>
      <c r="B692" s="29" t="str">
        <f ca="1">IFERROR(INDEX(UNSPSCDes,MATCH(INDIRECT(ADDRESS(ROW(),COLUMN()-1,4)),UNSPSCCode,0)),IF(INDIRECT(ADDRESS(ROW(),COLUMN()-1,4))="44121708","Marcadores",""))</f>
        <v>Marcadores</v>
      </c>
      <c r="C692" s="30" t="str">
        <f>IFERROR(VLOOKUP("UD",'[1]Informacion '!P:Q,2,FALSE),"")</f>
        <v>Unidad</v>
      </c>
      <c r="D692" s="28">
        <v>60</v>
      </c>
      <c r="E692" s="31">
        <v>45</v>
      </c>
      <c r="F692" s="32">
        <f t="shared" ca="1" si="7"/>
        <v>2700</v>
      </c>
    </row>
    <row r="693" spans="1:6" x14ac:dyDescent="0.3">
      <c r="A693" s="28" t="s">
        <v>250</v>
      </c>
      <c r="B693" s="29" t="str">
        <f ca="1">IFERROR(INDEX(UNSPSCDes,MATCH(INDIRECT(ADDRESS(ROW(),COLUMN()-1,4)),UNSPSCCode,0)),IF(INDIRECT(ADDRESS(ROW(),COLUMN()-1,4))="14111530","Papel de notas autoadhesivas",""))</f>
        <v>Papel de notas autoadhesivas</v>
      </c>
      <c r="C693" s="30" t="str">
        <f>IFERROR(VLOOKUP("PAQ",'[1]Informacion '!P:Q,2,FALSE),"")</f>
        <v>Paquete</v>
      </c>
      <c r="D693" s="28">
        <v>40</v>
      </c>
      <c r="E693" s="31">
        <v>100</v>
      </c>
      <c r="F693" s="32">
        <f t="shared" ca="1" si="7"/>
        <v>4000</v>
      </c>
    </row>
    <row r="694" spans="1:6" x14ac:dyDescent="0.3">
      <c r="A694" s="28" t="s">
        <v>251</v>
      </c>
      <c r="B694" s="29" t="str">
        <f ca="1">IFERROR(INDEX(UNSPSCDes,MATCH(INDIRECT(ADDRESS(ROW(),COLUMN()-1,4)),UNSPSCCode,0)),IF(INDIRECT(ADDRESS(ROW(),COLUMN()-1,4))="44121716","Resaltadores",""))</f>
        <v>Resaltadores</v>
      </c>
      <c r="C694" s="30" t="str">
        <f>IFERROR(VLOOKUP("UD",'[1]Informacion '!P:Q,2,FALSE),"")</f>
        <v>Unidad</v>
      </c>
      <c r="D694" s="28">
        <v>200</v>
      </c>
      <c r="E694" s="31">
        <v>15</v>
      </c>
      <c r="F694" s="32">
        <f t="shared" ca="1" si="7"/>
        <v>3000</v>
      </c>
    </row>
    <row r="695" spans="1:6" x14ac:dyDescent="0.3">
      <c r="A695" s="28" t="s">
        <v>252</v>
      </c>
      <c r="B695" s="29" t="str">
        <f ca="1">IFERROR(INDEX(UNSPSCDes,MATCH(INDIRECT(ADDRESS(ROW(),COLUMN()-1,4)),UNSPSCCode,0)),IF(INDIRECT(ADDRESS(ROW(),COLUMN()-1,4))="44122010","Separadores",""))</f>
        <v>Separadores</v>
      </c>
      <c r="C695" s="30" t="str">
        <f>IFERROR(VLOOKUP("PAQ",'[1]Informacion '!P:Q,2,FALSE),"")</f>
        <v>Paquete</v>
      </c>
      <c r="D695" s="28">
        <v>28</v>
      </c>
      <c r="E695" s="31">
        <v>125</v>
      </c>
      <c r="F695" s="32">
        <f t="shared" ca="1" si="7"/>
        <v>3500</v>
      </c>
    </row>
    <row r="696" spans="1:6" x14ac:dyDescent="0.3">
      <c r="A696" s="28" t="s">
        <v>253</v>
      </c>
      <c r="B696" s="29" t="str">
        <f ca="1">IFERROR(INDEX(UNSPSCDes,MATCH(INDIRECT(ADDRESS(ROW(),COLUMN()-1,4)),UNSPSCCode,0)),IF(INDIRECT(ADDRESS(ROW(),COLUMN()-1,4))="44121619","Tajalápices manuales",""))</f>
        <v>Tajalápices manuales</v>
      </c>
      <c r="C696" s="30" t="str">
        <f>IFERROR(VLOOKUP("UD",'[1]Informacion '!P:Q,2,FALSE),"")</f>
        <v>Unidad</v>
      </c>
      <c r="D696" s="28">
        <v>50</v>
      </c>
      <c r="E696" s="31">
        <v>50</v>
      </c>
      <c r="F696" s="32">
        <f t="shared" ca="1" si="7"/>
        <v>2500</v>
      </c>
    </row>
    <row r="697" spans="1:6" x14ac:dyDescent="0.3">
      <c r="A697" s="28" t="s">
        <v>234</v>
      </c>
      <c r="B697" s="29" t="str">
        <f ca="1">IFERROR(INDEX(UNSPSCDes,MATCH(INDIRECT(ADDRESS(ROW(),COLUMN()-1,4)),UNSPSCCode,0)),IF(INDIRECT(ADDRESS(ROW(),COLUMN()-1,4))="44121904","Repuestos de tinta",""))</f>
        <v>Repuestos de tinta</v>
      </c>
      <c r="C697" s="30" t="str">
        <f>IFERROR(VLOOKUP("UD",'[1]Informacion '!P:Q,2,FALSE),"")</f>
        <v>Unidad</v>
      </c>
      <c r="D697" s="28">
        <v>50</v>
      </c>
      <c r="E697" s="31">
        <v>50</v>
      </c>
      <c r="F697" s="32">
        <f t="shared" ca="1" si="7"/>
        <v>2500</v>
      </c>
    </row>
    <row r="698" spans="1:6" x14ac:dyDescent="0.3">
      <c r="A698" s="28" t="s">
        <v>234</v>
      </c>
      <c r="B698" s="29" t="str">
        <f ca="1">IFERROR(INDEX(UNSPSCDes,MATCH(INDIRECT(ADDRESS(ROW(),COLUMN()-1,4)),UNSPSCCode,0)),IF(INDIRECT(ADDRESS(ROW(),COLUMN()-1,4))="44121904","Repuestos de tinta",""))</f>
        <v>Repuestos de tinta</v>
      </c>
      <c r="C698" s="30" t="str">
        <f>IFERROR(VLOOKUP("UD",'[1]Informacion '!P:Q,2,FALSE),"")</f>
        <v>Unidad</v>
      </c>
      <c r="D698" s="28">
        <v>10</v>
      </c>
      <c r="E698" s="31">
        <v>250</v>
      </c>
      <c r="F698" s="32">
        <f t="shared" ca="1" si="7"/>
        <v>2500</v>
      </c>
    </row>
    <row r="699" spans="1:6" x14ac:dyDescent="0.3">
      <c r="A699" s="28" t="s">
        <v>254</v>
      </c>
      <c r="B699" s="29" t="str">
        <f ca="1">IFERROR(INDEX(UNSPSCDes,MATCH(INDIRECT(ADDRESS(ROW(),COLUMN()-1,4)),UNSPSCCode,0)),IF(INDIRECT(ADDRESS(ROW(),COLUMN()-1,4))="44122017","Folders de colgar o accesorios",""))</f>
        <v>Folders de colgar o accesorios</v>
      </c>
      <c r="C699" s="30" t="str">
        <f>IFERROR(VLOOKUP("CAJ",'[1]Informacion '!P:Q,2,FALSE),"")</f>
        <v>Caja</v>
      </c>
      <c r="D699" s="28">
        <v>50</v>
      </c>
      <c r="E699" s="31">
        <v>600</v>
      </c>
      <c r="F699" s="32">
        <f t="shared" ca="1" si="7"/>
        <v>30000</v>
      </c>
    </row>
    <row r="700" spans="1:6" x14ac:dyDescent="0.3">
      <c r="A700" s="19"/>
      <c r="B700" s="19"/>
      <c r="C700" s="19"/>
      <c r="D700" s="19"/>
      <c r="E700" s="33" t="s">
        <v>48</v>
      </c>
      <c r="F700" s="34">
        <f ca="1">SUM(Table46[MONTO TOTAL ESTIMADO])</f>
        <v>1515820</v>
      </c>
    </row>
    <row r="701" spans="1:6" ht="15" thickBot="1" x14ac:dyDescent="0.35">
      <c r="A701" s="19"/>
      <c r="B701" s="19"/>
      <c r="C701" s="19"/>
      <c r="D701" s="19"/>
      <c r="E701" s="19"/>
      <c r="F701" s="19"/>
    </row>
    <row r="702" spans="1:6" ht="21" thickBot="1" x14ac:dyDescent="0.35">
      <c r="A702" s="20" t="s">
        <v>19</v>
      </c>
      <c r="B702" s="20" t="s">
        <v>20</v>
      </c>
      <c r="C702" s="20" t="s">
        <v>21</v>
      </c>
      <c r="D702" s="20" t="s">
        <v>22</v>
      </c>
      <c r="E702" s="20" t="s">
        <v>23</v>
      </c>
      <c r="F702" s="20" t="s">
        <v>24</v>
      </c>
    </row>
    <row r="703" spans="1:6" ht="15" thickBot="1" x14ac:dyDescent="0.35">
      <c r="A703" s="21" t="s">
        <v>255</v>
      </c>
      <c r="B703" s="21" t="s">
        <v>255</v>
      </c>
      <c r="C703" s="21" t="s">
        <v>60</v>
      </c>
      <c r="D703" s="21" t="s">
        <v>94</v>
      </c>
      <c r="E703" s="21" t="s">
        <v>29</v>
      </c>
      <c r="F703" s="21" t="s">
        <v>18</v>
      </c>
    </row>
    <row r="704" spans="1:6" ht="15" thickBot="1" x14ac:dyDescent="0.35">
      <c r="A704" s="41" t="s">
        <v>30</v>
      </c>
      <c r="B704" s="22" t="s">
        <v>31</v>
      </c>
      <c r="C704" s="23">
        <v>44972</v>
      </c>
      <c r="D704" s="41" t="s">
        <v>32</v>
      </c>
      <c r="E704" s="24" t="s">
        <v>33</v>
      </c>
      <c r="F704" s="25" t="s">
        <v>34</v>
      </c>
    </row>
    <row r="705" spans="1:6" ht="15" thickBot="1" x14ac:dyDescent="0.35">
      <c r="A705" s="42"/>
      <c r="B705" s="22" t="s">
        <v>35</v>
      </c>
      <c r="C705" s="26">
        <f>IF(C704="","",IF(AND(MONTH(C704)&gt;=1,MONTH(C704)&lt;=3),1,IF(AND(MONTH(C704)&gt;=4,MONTH(C704)&lt;=6),2,IF(AND(MONTH(C704)&gt;=7,MONTH(C704)&lt;=9),3,4))))</f>
        <v>1</v>
      </c>
      <c r="D705" s="42"/>
      <c r="E705" s="24" t="s">
        <v>36</v>
      </c>
      <c r="F705" s="25" t="s">
        <v>37</v>
      </c>
    </row>
    <row r="706" spans="1:6" ht="15" thickBot="1" x14ac:dyDescent="0.35">
      <c r="A706" s="42"/>
      <c r="B706" s="22" t="s">
        <v>38</v>
      </c>
      <c r="C706" s="23">
        <v>45000</v>
      </c>
      <c r="D706" s="42"/>
      <c r="E706" s="24" t="s">
        <v>39</v>
      </c>
      <c r="F706" s="25" t="s">
        <v>37</v>
      </c>
    </row>
    <row r="707" spans="1:6" ht="15" thickBot="1" x14ac:dyDescent="0.35">
      <c r="A707" s="42"/>
      <c r="B707" s="22" t="s">
        <v>35</v>
      </c>
      <c r="C707" s="26">
        <f>IF(C706="","",IF(AND(MONTH(C706)&gt;=1,MONTH(C706)&lt;=3),1,IF(AND(MONTH(C706)&gt;=4,MONTH(C706)&lt;=6),2,IF(AND(MONTH(C706)&gt;=7,MONTH(C706)&lt;=9),3,4))))</f>
        <v>1</v>
      </c>
      <c r="D707" s="42"/>
      <c r="E707" s="24" t="s">
        <v>40</v>
      </c>
      <c r="F707" s="25"/>
    </row>
    <row r="708" spans="1:6" ht="15" thickBot="1" x14ac:dyDescent="0.35">
      <c r="A708" s="19"/>
      <c r="B708" s="19"/>
      <c r="C708" s="19"/>
      <c r="D708" s="19"/>
      <c r="E708" s="19"/>
      <c r="F708" s="19"/>
    </row>
    <row r="709" spans="1:6" ht="15" thickBot="1" x14ac:dyDescent="0.35">
      <c r="A709" s="27" t="s">
        <v>41</v>
      </c>
      <c r="B709" s="27" t="s">
        <v>42</v>
      </c>
      <c r="C709" s="27" t="s">
        <v>43</v>
      </c>
      <c r="D709" s="27" t="s">
        <v>44</v>
      </c>
      <c r="E709" s="27" t="s">
        <v>45</v>
      </c>
      <c r="F709" s="27" t="s">
        <v>46</v>
      </c>
    </row>
    <row r="710" spans="1:6" x14ac:dyDescent="0.3">
      <c r="A710" s="28" t="s">
        <v>256</v>
      </c>
      <c r="B710" s="29" t="str">
        <f ca="1">IFERROR(INDEX(UNSPSCDes,MATCH(INDIRECT(ADDRESS(ROW(),COLUMN()-1,4)),UNSPSCCode,0)),IF(INDIRECT(ADDRESS(ROW(),COLUMN()-1,4))="52152008","Teteras o cafeteras para uso doméstico",""))</f>
        <v>Teteras o cafeteras para uso doméstico</v>
      </c>
      <c r="C710" s="30" t="str">
        <f>IFERROR(VLOOKUP("UD",'[1]Informacion '!P:Q,2,FALSE),"")</f>
        <v>Unidad</v>
      </c>
      <c r="D710" s="28">
        <v>30</v>
      </c>
      <c r="E710" s="31">
        <v>1800</v>
      </c>
      <c r="F710" s="32">
        <f t="shared" ref="F710:F733" ca="1" si="8">INDIRECT(ADDRESS(ROW(),COLUMN()-2,4))*INDIRECT(ADDRESS(ROW(),COLUMN()-1,4))</f>
        <v>54000</v>
      </c>
    </row>
    <row r="711" spans="1:6" x14ac:dyDescent="0.3">
      <c r="A711" s="28" t="s">
        <v>257</v>
      </c>
      <c r="B711" s="29" t="str">
        <f ca="1">IFERROR(INDEX(UNSPSCDes,MATCH(INDIRECT(ADDRESS(ROW(),COLUMN()-1,4)),UNSPSCCode,0)),IF(INDIRECT(ADDRESS(ROW(),COLUMN()-1,4))="52141523","Teteras eléctricas para uso doméstico",""))</f>
        <v>Teteras eléctricas para uso doméstico</v>
      </c>
      <c r="C711" s="30" t="str">
        <f>IFERROR(VLOOKUP("UD",'[1]Informacion '!P:Q,2,FALSE),"")</f>
        <v>Unidad</v>
      </c>
      <c r="D711" s="28">
        <v>2</v>
      </c>
      <c r="E711" s="31">
        <v>3500</v>
      </c>
      <c r="F711" s="32">
        <f t="shared" ca="1" si="8"/>
        <v>7000</v>
      </c>
    </row>
    <row r="712" spans="1:6" x14ac:dyDescent="0.3">
      <c r="A712" s="28" t="s">
        <v>258</v>
      </c>
      <c r="B712" s="29" t="str">
        <f ca="1">IFERROR(INDEX(UNSPSCDes,MATCH(INDIRECT(ADDRESS(ROW(),COLUMN()-1,4)),UNSPSCCode,0)),IF(INDIRECT(ADDRESS(ROW(),COLUMN()-1,4))="52152104","Copas para uso doméstico",""))</f>
        <v>Copas para uso doméstico</v>
      </c>
      <c r="C712" s="30" t="str">
        <f>IFERROR(VLOOKUP("UD",'[1]Informacion '!P:Q,2,FALSE),"")</f>
        <v>Unidad</v>
      </c>
      <c r="D712" s="28">
        <v>24</v>
      </c>
      <c r="E712" s="31">
        <v>283.2</v>
      </c>
      <c r="F712" s="32">
        <f t="shared" ca="1" si="8"/>
        <v>6796.7999999999993</v>
      </c>
    </row>
    <row r="713" spans="1:6" x14ac:dyDescent="0.3">
      <c r="A713" s="28" t="s">
        <v>259</v>
      </c>
      <c r="B713" s="29" t="str">
        <f ca="1">IFERROR(INDEX(UNSPSCDes,MATCH(INDIRECT(ADDRESS(ROW(),COLUMN()-1,4)),UNSPSCCode,0)),IF(INDIRECT(ADDRESS(ROW(),COLUMN()-1,4))="48101801","Cubiertos para uso comercial",""))</f>
        <v>Cubiertos para uso comercial</v>
      </c>
      <c r="C713" s="30" t="str">
        <f>IFERROR(VLOOKUP("DOC",'[1]Informacion '!P:Q,2,FALSE),"")</f>
        <v>Docena</v>
      </c>
      <c r="D713" s="28">
        <v>5</v>
      </c>
      <c r="E713" s="31">
        <v>950</v>
      </c>
      <c r="F713" s="32">
        <f t="shared" ca="1" si="8"/>
        <v>4750</v>
      </c>
    </row>
    <row r="714" spans="1:6" x14ac:dyDescent="0.3">
      <c r="A714" s="28" t="s">
        <v>260</v>
      </c>
      <c r="B714" s="29" t="str">
        <f ca="1">IFERROR(INDEX(UNSPSCDes,MATCH(INDIRECT(ADDRESS(ROW(),COLUMN()-1,4)),UNSPSCCode,0)),IF(INDIRECT(ADDRESS(ROW(),COLUMN()-1,4))="52151704","Cucharas para uso doméstico",""))</f>
        <v>Cucharas para uso doméstico</v>
      </c>
      <c r="C714" s="30" t="str">
        <f>IFERROR(VLOOKUP("DOC",'[1]Informacion '!P:Q,2,FALSE),"")</f>
        <v>Docena</v>
      </c>
      <c r="D714" s="28">
        <v>5</v>
      </c>
      <c r="E714" s="31">
        <v>950</v>
      </c>
      <c r="F714" s="32">
        <f t="shared" ca="1" si="8"/>
        <v>4750</v>
      </c>
    </row>
    <row r="715" spans="1:6" x14ac:dyDescent="0.3">
      <c r="A715" s="28" t="s">
        <v>261</v>
      </c>
      <c r="B715" s="29" t="str">
        <f ca="1">IFERROR(INDEX(UNSPSCDes,MATCH(INDIRECT(ADDRESS(ROW(),COLUMN()-1,4)),UNSPSCCode,0)),IF(INDIRECT(ADDRESS(ROW(),COLUMN()-1,4))="52151702","Cuchillos para uso doméstico",""))</f>
        <v>Cuchillos para uso doméstico</v>
      </c>
      <c r="C715" s="30" t="str">
        <f>IFERROR(VLOOKUP("DOC",'[1]Informacion '!P:Q,2,FALSE),"")</f>
        <v>Docena</v>
      </c>
      <c r="D715" s="28">
        <v>5</v>
      </c>
      <c r="E715" s="31">
        <v>950</v>
      </c>
      <c r="F715" s="32">
        <f t="shared" ca="1" si="8"/>
        <v>4750</v>
      </c>
    </row>
    <row r="716" spans="1:6" x14ac:dyDescent="0.3">
      <c r="A716" s="28" t="s">
        <v>262</v>
      </c>
      <c r="B716" s="29" t="str">
        <f ca="1">IFERROR(INDEX(UNSPSCDes,MATCH(INDIRECT(ADDRESS(ROW(),COLUMN()-1,4)),UNSPSCCode,0)),IF(INDIRECT(ADDRESS(ROW(),COLUMN()-1,4))="48101915","Bandejas para servicio de comidas",""))</f>
        <v>Bandejas para servicio de comidas</v>
      </c>
      <c r="C716" s="30" t="str">
        <f>IFERROR(VLOOKUP("UD",'[1]Informacion '!P:Q,2,FALSE),"")</f>
        <v>Unidad</v>
      </c>
      <c r="D716" s="28">
        <v>6</v>
      </c>
      <c r="E716" s="31">
        <v>650</v>
      </c>
      <c r="F716" s="32">
        <f t="shared" ca="1" si="8"/>
        <v>3900</v>
      </c>
    </row>
    <row r="717" spans="1:6" x14ac:dyDescent="0.3">
      <c r="A717" s="28" t="s">
        <v>263</v>
      </c>
      <c r="B717" s="29" t="str">
        <f ca="1">IFERROR(INDEX(UNSPSCDes,MATCH(INDIRECT(ADDRESS(ROW(),COLUMN()-1,4)),UNSPSCCode,0)),IF(INDIRECT(ADDRESS(ROW(),COLUMN()-1,4))="52141511","Exprimidores de jugo para uso doméstico",""))</f>
        <v>Exprimidores de jugo para uso doméstico</v>
      </c>
      <c r="C717" s="30" t="str">
        <f>IFERROR(VLOOKUP("UD",'[1]Informacion '!P:Q,2,FALSE),"")</f>
        <v>Unidad</v>
      </c>
      <c r="D717" s="28">
        <v>2</v>
      </c>
      <c r="E717" s="31">
        <v>3700</v>
      </c>
      <c r="F717" s="32">
        <f t="shared" ca="1" si="8"/>
        <v>7400</v>
      </c>
    </row>
    <row r="718" spans="1:6" x14ac:dyDescent="0.3">
      <c r="A718" s="28" t="s">
        <v>260</v>
      </c>
      <c r="B718" s="29" t="str">
        <f ca="1">IFERROR(INDEX(UNSPSCDes,MATCH(INDIRECT(ADDRESS(ROW(),COLUMN()-1,4)),UNSPSCCode,0)),IF(INDIRECT(ADDRESS(ROW(),COLUMN()-1,4))="52151704","Cucharas para uso doméstico",""))</f>
        <v>Cucharas para uso doméstico</v>
      </c>
      <c r="C718" s="30" t="str">
        <f>IFERROR(VLOOKUP("DOC",'[1]Informacion '!P:Q,2,FALSE),"")</f>
        <v>Docena</v>
      </c>
      <c r="D718" s="28">
        <v>3</v>
      </c>
      <c r="E718" s="31">
        <v>500</v>
      </c>
      <c r="F718" s="32">
        <f t="shared" ca="1" si="8"/>
        <v>1500</v>
      </c>
    </row>
    <row r="719" spans="1:6" x14ac:dyDescent="0.3">
      <c r="A719" s="28" t="s">
        <v>264</v>
      </c>
      <c r="B719" s="29" t="str">
        <f ca="1">IFERROR(INDEX(UNSPSCDes,MATCH(INDIRECT(ADDRESS(ROW(),COLUMN()-1,4)),UNSPSCCode,0)),IF(INDIRECT(ADDRESS(ROW(),COLUMN()-1,4))="48101803","Cucharones para uso comercial",""))</f>
        <v>Cucharones para uso comercial</v>
      </c>
      <c r="C719" s="30" t="str">
        <f>IFERROR(VLOOKUP("PAQ",'[1]Informacion '!P:Q,2,FALSE),"")</f>
        <v>Paquete</v>
      </c>
      <c r="D719" s="28">
        <v>2</v>
      </c>
      <c r="E719" s="31">
        <v>1100</v>
      </c>
      <c r="F719" s="32">
        <f t="shared" ca="1" si="8"/>
        <v>2200</v>
      </c>
    </row>
    <row r="720" spans="1:6" x14ac:dyDescent="0.3">
      <c r="A720" s="28" t="s">
        <v>265</v>
      </c>
      <c r="B720" s="29" t="str">
        <f ca="1">IFERROR(INDEX(UNSPSCDes,MATCH(INDIRECT(ADDRESS(ROW(),COLUMN()-1,4)),UNSPSCCode,0)),IF(INDIRECT(ADDRESS(ROW(),COLUMN()-1,4))="52151708","Cuchillos para mantequilla",""))</f>
        <v>Cuchillos para mantequilla</v>
      </c>
      <c r="C720" s="30" t="str">
        <f>IFERROR(VLOOKUP("UD",'[1]Informacion '!P:Q,2,FALSE),"")</f>
        <v>Unidad</v>
      </c>
      <c r="D720" s="28">
        <v>6</v>
      </c>
      <c r="E720" s="31">
        <v>275</v>
      </c>
      <c r="F720" s="32">
        <f t="shared" ca="1" si="8"/>
        <v>1650</v>
      </c>
    </row>
    <row r="721" spans="1:6" x14ac:dyDescent="0.3">
      <c r="A721" s="28" t="s">
        <v>266</v>
      </c>
      <c r="B721" s="29" t="str">
        <f ca="1">IFERROR(INDEX(UNSPSCDes,MATCH(INDIRECT(ADDRESS(ROW(),COLUMN()-1,4)),UNSPSCCode,0)),IF(INDIRECT(ADDRESS(ROW(),COLUMN()-1,4))="52152202","Escurridor de platos",""))</f>
        <v>Escurridor de platos</v>
      </c>
      <c r="C721" s="30" t="str">
        <f>IFERROR(VLOOKUP("UD",'[1]Informacion '!P:Q,2,FALSE),"")</f>
        <v>Unidad</v>
      </c>
      <c r="D721" s="28">
        <v>3</v>
      </c>
      <c r="E721" s="31">
        <v>2400</v>
      </c>
      <c r="F721" s="32">
        <f t="shared" ca="1" si="8"/>
        <v>7200</v>
      </c>
    </row>
    <row r="722" spans="1:6" x14ac:dyDescent="0.3">
      <c r="A722" s="28" t="s">
        <v>267</v>
      </c>
      <c r="B722" s="29" t="str">
        <f ca="1">IFERROR(INDEX(UNSPSCDes,MATCH(INDIRECT(ADDRESS(ROW(),COLUMN()-1,4)),UNSPSCCode,0)),IF(INDIRECT(ADDRESS(ROW(),COLUMN()-1,4))="52151616","Espátulas de cocina para uso doméstico",""))</f>
        <v>Espátulas de cocina para uso doméstico</v>
      </c>
      <c r="C722" s="30" t="str">
        <f>IFERROR(VLOOKUP("UD",'[1]Informacion '!P:Q,2,FALSE),"")</f>
        <v>Unidad</v>
      </c>
      <c r="D722" s="28">
        <v>3</v>
      </c>
      <c r="E722" s="31">
        <v>225</v>
      </c>
      <c r="F722" s="32">
        <f t="shared" ca="1" si="8"/>
        <v>675</v>
      </c>
    </row>
    <row r="723" spans="1:6" x14ac:dyDescent="0.3">
      <c r="A723" s="28" t="s">
        <v>268</v>
      </c>
      <c r="B723" s="29" t="str">
        <f ca="1">IFERROR(INDEX(UNSPSCDes,MATCH(INDIRECT(ADDRESS(ROW(),COLUMN()-1,4)),UNSPSCCode,0)),IF(INDIRECT(ADDRESS(ROW(),COLUMN()-1,4))="24112601","Jarras",""))</f>
        <v>Jarras</v>
      </c>
      <c r="C723" s="30" t="str">
        <f>IFERROR(VLOOKUP("UD",'[1]Informacion '!P:Q,2,FALSE),"")</f>
        <v>Unidad</v>
      </c>
      <c r="D723" s="28">
        <v>5</v>
      </c>
      <c r="E723" s="31">
        <v>225</v>
      </c>
      <c r="F723" s="32">
        <f t="shared" ca="1" si="8"/>
        <v>1125</v>
      </c>
    </row>
    <row r="724" spans="1:6" x14ac:dyDescent="0.3">
      <c r="A724" s="28" t="s">
        <v>269</v>
      </c>
      <c r="B724" s="29" t="str">
        <f ca="1">IFERROR(INDEX(UNSPSCDes,MATCH(INDIRECT(ADDRESS(ROW(),COLUMN()-1,4)),UNSPSCCode,0)),IF(INDIRECT(ADDRESS(ROW(),COLUMN()-1,4))="52152004","Platos para uso doméstico",""))</f>
        <v>Platos para uso doméstico</v>
      </c>
      <c r="C724" s="30" t="str">
        <f>IFERROR(VLOOKUP("UD",'[1]Informacion '!P:Q,2,FALSE),"")</f>
        <v>Unidad</v>
      </c>
      <c r="D724" s="28">
        <v>12</v>
      </c>
      <c r="E724" s="31">
        <v>375</v>
      </c>
      <c r="F724" s="32">
        <f t="shared" ca="1" si="8"/>
        <v>4500</v>
      </c>
    </row>
    <row r="725" spans="1:6" x14ac:dyDescent="0.3">
      <c r="A725" s="28" t="s">
        <v>270</v>
      </c>
      <c r="B725" s="29" t="str">
        <f ca="1">IFERROR(INDEX(UNSPSCDes,MATCH(INDIRECT(ADDRESS(ROW(),COLUMN()-1,4)),UNSPSCCode,0)),IF(INDIRECT(ADDRESS(ROW(),COLUMN()-1,4))="52152005","Platos pequeños para uso doméstico",""))</f>
        <v>Platos pequeños para uso doméstico</v>
      </c>
      <c r="C725" s="30" t="str">
        <f>IFERROR(VLOOKUP("UD",'[1]Informacion '!P:Q,2,FALSE),"")</f>
        <v>Unidad</v>
      </c>
      <c r="D725" s="28">
        <v>12</v>
      </c>
      <c r="E725" s="31">
        <v>285</v>
      </c>
      <c r="F725" s="32">
        <f t="shared" ca="1" si="8"/>
        <v>3420</v>
      </c>
    </row>
    <row r="726" spans="1:6" x14ac:dyDescent="0.3">
      <c r="A726" s="28" t="s">
        <v>271</v>
      </c>
      <c r="B726" s="29" t="str">
        <f ca="1">IFERROR(INDEX(UNSPSCDes,MATCH(INDIRECT(ADDRESS(ROW(),COLUMN()-1,4)),UNSPSCCode,0)),IF(INDIRECT(ADDRESS(ROW(),COLUMN()-1,4))="52152013","Saleros, pimenteros o especieros",""))</f>
        <v>Saleros, pimenteros o especieros</v>
      </c>
      <c r="C726" s="30" t="str">
        <f>IFERROR(VLOOKUP("UD",'[1]Informacion '!P:Q,2,FALSE),"")</f>
        <v>Unidad</v>
      </c>
      <c r="D726" s="28">
        <v>1</v>
      </c>
      <c r="E726" s="31">
        <v>1380</v>
      </c>
      <c r="F726" s="32">
        <f t="shared" ca="1" si="8"/>
        <v>1380</v>
      </c>
    </row>
    <row r="727" spans="1:6" x14ac:dyDescent="0.3">
      <c r="A727" s="28" t="s">
        <v>272</v>
      </c>
      <c r="B727" s="29" t="str">
        <f ca="1">IFERROR(INDEX(UNSPSCDes,MATCH(INDIRECT(ADDRESS(ROW(),COLUMN()-1,4)),UNSPSCCode,0)),IF(INDIRECT(ADDRESS(ROW(),COLUMN()-1,4))="52152009","Soperas o ensaladeras para uso doméstico",""))</f>
        <v>Soperas o ensaladeras para uso doméstico</v>
      </c>
      <c r="C727" s="30" t="str">
        <f>IFERROR(VLOOKUP("UD",'[1]Informacion '!P:Q,2,FALSE),"")</f>
        <v>Unidad</v>
      </c>
      <c r="D727" s="28">
        <v>12</v>
      </c>
      <c r="E727" s="31">
        <v>600</v>
      </c>
      <c r="F727" s="32">
        <f t="shared" ca="1" si="8"/>
        <v>7200</v>
      </c>
    </row>
    <row r="728" spans="1:6" x14ac:dyDescent="0.3">
      <c r="A728" s="28" t="s">
        <v>273</v>
      </c>
      <c r="B728" s="29" t="str">
        <f ca="1">IFERROR(INDEX(UNSPSCDes,MATCH(INDIRECT(ADDRESS(ROW(),COLUMN()-1,4)),UNSPSCCode,0)),IF(INDIRECT(ADDRESS(ROW(),COLUMN()-1,4))="52151606","Tablas para cortar para uso doméstico",""))</f>
        <v>Tablas para cortar para uso doméstico</v>
      </c>
      <c r="C728" s="30" t="str">
        <f>IFERROR(VLOOKUP("UD",'[1]Informacion '!P:Q,2,FALSE),"")</f>
        <v>Unidad</v>
      </c>
      <c r="D728" s="28">
        <v>3</v>
      </c>
      <c r="E728" s="31">
        <v>570</v>
      </c>
      <c r="F728" s="32">
        <f t="shared" ca="1" si="8"/>
        <v>1710</v>
      </c>
    </row>
    <row r="729" spans="1:6" x14ac:dyDescent="0.3">
      <c r="A729" s="28" t="s">
        <v>274</v>
      </c>
      <c r="B729" s="29" t="str">
        <f ca="1">IFERROR(INDEX(UNSPSCDes,MATCH(INDIRECT(ADDRESS(ROW(),COLUMN()-1,4)),UNSPSCCode,0)),IF(INDIRECT(ADDRESS(ROW(),COLUMN()-1,4))="52152101","Tazas de café o té para uso doméstico",""))</f>
        <v>Tazas de café o té para uso doméstico</v>
      </c>
      <c r="C729" s="30" t="str">
        <f>IFERROR(VLOOKUP("DOC",'[1]Informacion '!P:Q,2,FALSE),"")</f>
        <v>Docena</v>
      </c>
      <c r="D729" s="28">
        <v>2</v>
      </c>
      <c r="E729" s="31">
        <v>3327.6</v>
      </c>
      <c r="F729" s="32">
        <f t="shared" ca="1" si="8"/>
        <v>6655.2</v>
      </c>
    </row>
    <row r="730" spans="1:6" x14ac:dyDescent="0.3">
      <c r="A730" s="28" t="s">
        <v>275</v>
      </c>
      <c r="B730" s="29" t="str">
        <f ca="1">IFERROR(INDEX(UNSPSCDes,MATCH(INDIRECT(ADDRESS(ROW(),COLUMN()-1,4)),UNSPSCCode,0)),IF(INDIRECT(ADDRESS(ROW(),COLUMN()-1,4))="48101909","Teteras o cafeteras para servicio de comidas",""))</f>
        <v>Teteras o cafeteras para servicio de comidas</v>
      </c>
      <c r="C730" s="30" t="str">
        <f>IFERROR(VLOOKUP("UD",'[1]Informacion '!P:Q,2,FALSE),"")</f>
        <v>Unidad</v>
      </c>
      <c r="D730" s="28">
        <v>3</v>
      </c>
      <c r="E730" s="31">
        <v>700</v>
      </c>
      <c r="F730" s="32">
        <f t="shared" ca="1" si="8"/>
        <v>2100</v>
      </c>
    </row>
    <row r="731" spans="1:6" x14ac:dyDescent="0.3">
      <c r="A731" s="28" t="s">
        <v>276</v>
      </c>
      <c r="B731" s="29" t="str">
        <f ca="1">IFERROR(INDEX(UNSPSCDes,MATCH(INDIRECT(ADDRESS(ROW(),COLUMN()-1,4)),UNSPSCCode,0)),IF(INDIRECT(ADDRESS(ROW(),COLUMN()-1,4))="52152102","Vasos para beber para uso doméstico",""))</f>
        <v>Vasos para beber para uso doméstico</v>
      </c>
      <c r="C731" s="30" t="str">
        <f>IFERROR(VLOOKUP("DOC",'[1]Informacion '!P:Q,2,FALSE),"")</f>
        <v>Docena</v>
      </c>
      <c r="D731" s="28">
        <v>3</v>
      </c>
      <c r="E731" s="31">
        <v>4956</v>
      </c>
      <c r="F731" s="32">
        <f t="shared" ca="1" si="8"/>
        <v>14868</v>
      </c>
    </row>
    <row r="732" spans="1:6" x14ac:dyDescent="0.3">
      <c r="A732" s="28" t="s">
        <v>258</v>
      </c>
      <c r="B732" s="29" t="str">
        <f ca="1">IFERROR(INDEX(UNSPSCDes,MATCH(INDIRECT(ADDRESS(ROW(),COLUMN()-1,4)),UNSPSCCode,0)),IF(INDIRECT(ADDRESS(ROW(),COLUMN()-1,4))="52152104","Copas para uso doméstico",""))</f>
        <v>Copas para uso doméstico</v>
      </c>
      <c r="C732" s="30" t="str">
        <f>IFERROR(VLOOKUP("UD",'[1]Informacion '!P:Q,2,FALSE),"")</f>
        <v>Unidad</v>
      </c>
      <c r="D732" s="28">
        <v>12</v>
      </c>
      <c r="E732" s="31">
        <v>566.4</v>
      </c>
      <c r="F732" s="32">
        <f t="shared" ca="1" si="8"/>
        <v>6796.7999999999993</v>
      </c>
    </row>
    <row r="733" spans="1:6" x14ac:dyDescent="0.3">
      <c r="A733" s="28" t="s">
        <v>271</v>
      </c>
      <c r="B733" s="29" t="str">
        <f ca="1">IFERROR(INDEX(UNSPSCDes,MATCH(INDIRECT(ADDRESS(ROW(),COLUMN()-1,4)),UNSPSCCode,0)),IF(INDIRECT(ADDRESS(ROW(),COLUMN()-1,4))="52152013","Saleros, pimenteros o especieros",""))</f>
        <v>Saleros, pimenteros o especieros</v>
      </c>
      <c r="C733" s="30" t="str">
        <f>IFERROR(VLOOKUP("UD",'[1]Informacion '!P:Q,2,FALSE),"")</f>
        <v>Unidad</v>
      </c>
      <c r="D733" s="28">
        <v>3</v>
      </c>
      <c r="E733" s="31">
        <v>775</v>
      </c>
      <c r="F733" s="32">
        <f t="shared" ca="1" si="8"/>
        <v>2325</v>
      </c>
    </row>
    <row r="734" spans="1:6" x14ac:dyDescent="0.3">
      <c r="A734" s="19"/>
      <c r="B734" s="19"/>
      <c r="C734" s="19"/>
      <c r="D734" s="19"/>
      <c r="E734" s="33" t="s">
        <v>48</v>
      </c>
      <c r="F734" s="34">
        <f ca="1">SUM(Table47[MONTO TOTAL ESTIMADO])</f>
        <v>158651.79999999999</v>
      </c>
    </row>
    <row r="735" spans="1:6" ht="15" thickBot="1" x14ac:dyDescent="0.35">
      <c r="A735" s="19"/>
      <c r="B735" s="19"/>
      <c r="C735" s="19"/>
      <c r="D735" s="19"/>
      <c r="E735" s="19"/>
      <c r="F735" s="19"/>
    </row>
    <row r="736" spans="1:6" ht="21" thickBot="1" x14ac:dyDescent="0.35">
      <c r="A736" s="20" t="s">
        <v>19</v>
      </c>
      <c r="B736" s="20" t="s">
        <v>20</v>
      </c>
      <c r="C736" s="20" t="s">
        <v>21</v>
      </c>
      <c r="D736" s="20" t="s">
        <v>22</v>
      </c>
      <c r="E736" s="20" t="s">
        <v>23</v>
      </c>
      <c r="F736" s="20" t="s">
        <v>24</v>
      </c>
    </row>
    <row r="737" spans="1:6" ht="15" thickBot="1" x14ac:dyDescent="0.35">
      <c r="A737" s="21" t="s">
        <v>255</v>
      </c>
      <c r="B737" s="21" t="s">
        <v>255</v>
      </c>
      <c r="C737" s="21" t="s">
        <v>60</v>
      </c>
      <c r="D737" s="21" t="s">
        <v>94</v>
      </c>
      <c r="E737" s="21" t="s">
        <v>29</v>
      </c>
      <c r="F737" s="21" t="s">
        <v>18</v>
      </c>
    </row>
    <row r="738" spans="1:6" ht="15" thickBot="1" x14ac:dyDescent="0.35">
      <c r="A738" s="41" t="s">
        <v>30</v>
      </c>
      <c r="B738" s="22" t="s">
        <v>31</v>
      </c>
      <c r="C738" s="23">
        <v>45092</v>
      </c>
      <c r="D738" s="41" t="s">
        <v>32</v>
      </c>
      <c r="E738" s="24" t="s">
        <v>33</v>
      </c>
      <c r="F738" s="25" t="s">
        <v>34</v>
      </c>
    </row>
    <row r="739" spans="1:6" ht="15" thickBot="1" x14ac:dyDescent="0.35">
      <c r="A739" s="42"/>
      <c r="B739" s="22" t="s">
        <v>35</v>
      </c>
      <c r="C739" s="26">
        <f>IF(C738="","",IF(AND(MONTH(C738)&gt;=1,MONTH(C738)&lt;=3),1,IF(AND(MONTH(C738)&gt;=4,MONTH(C738)&lt;=6),2,IF(AND(MONTH(C738)&gt;=7,MONTH(C738)&lt;=9),3,4))))</f>
        <v>2</v>
      </c>
      <c r="D739" s="42"/>
      <c r="E739" s="24" t="s">
        <v>36</v>
      </c>
      <c r="F739" s="25" t="s">
        <v>37</v>
      </c>
    </row>
    <row r="740" spans="1:6" ht="15" thickBot="1" x14ac:dyDescent="0.35">
      <c r="A740" s="42"/>
      <c r="B740" s="22" t="s">
        <v>38</v>
      </c>
      <c r="C740" s="23">
        <v>45122</v>
      </c>
      <c r="D740" s="42"/>
      <c r="E740" s="24" t="s">
        <v>39</v>
      </c>
      <c r="F740" s="25" t="s">
        <v>37</v>
      </c>
    </row>
    <row r="741" spans="1:6" ht="15" thickBot="1" x14ac:dyDescent="0.35">
      <c r="A741" s="42"/>
      <c r="B741" s="22" t="s">
        <v>35</v>
      </c>
      <c r="C741" s="26">
        <f>IF(C740="","",IF(AND(MONTH(C740)&gt;=1,MONTH(C740)&lt;=3),1,IF(AND(MONTH(C740)&gt;=4,MONTH(C740)&lt;=6),2,IF(AND(MONTH(C740)&gt;=7,MONTH(C740)&lt;=9),3,4))))</f>
        <v>3</v>
      </c>
      <c r="D741" s="42"/>
      <c r="E741" s="24" t="s">
        <v>40</v>
      </c>
      <c r="F741" s="25"/>
    </row>
    <row r="742" spans="1:6" ht="15" thickBot="1" x14ac:dyDescent="0.35">
      <c r="A742" s="19"/>
      <c r="B742" s="19"/>
      <c r="C742" s="19"/>
      <c r="D742" s="19"/>
      <c r="E742" s="19"/>
      <c r="F742" s="19"/>
    </row>
    <row r="743" spans="1:6" ht="15" thickBot="1" x14ac:dyDescent="0.35">
      <c r="A743" s="27" t="s">
        <v>41</v>
      </c>
      <c r="B743" s="27" t="s">
        <v>42</v>
      </c>
      <c r="C743" s="27" t="s">
        <v>43</v>
      </c>
      <c r="D743" s="27" t="s">
        <v>44</v>
      </c>
      <c r="E743" s="27" t="s">
        <v>45</v>
      </c>
      <c r="F743" s="27" t="s">
        <v>46</v>
      </c>
    </row>
    <row r="744" spans="1:6" x14ac:dyDescent="0.3">
      <c r="A744" s="28" t="s">
        <v>256</v>
      </c>
      <c r="B744" s="29" t="str">
        <f ca="1">IFERROR(INDEX(UNSPSCDes,MATCH(INDIRECT(ADDRESS(ROW(),COLUMN()-1,4)),UNSPSCCode,0)),IF(INDIRECT(ADDRESS(ROW(),COLUMN()-1,4))="52152008","Teteras o cafeteras para uso doméstico",""))</f>
        <v>Teteras o cafeteras para uso doméstico</v>
      </c>
      <c r="C744" s="30" t="str">
        <f>IFERROR(VLOOKUP("UD",'[1]Informacion '!P:Q,2,FALSE),"")</f>
        <v>Unidad</v>
      </c>
      <c r="D744" s="28">
        <v>30</v>
      </c>
      <c r="E744" s="31">
        <v>1800</v>
      </c>
      <c r="F744" s="32">
        <f t="shared" ref="F744:F767" ca="1" si="9">INDIRECT(ADDRESS(ROW(),COLUMN()-2,4))*INDIRECT(ADDRESS(ROW(),COLUMN()-1,4))</f>
        <v>54000</v>
      </c>
    </row>
    <row r="745" spans="1:6" x14ac:dyDescent="0.3">
      <c r="A745" s="28" t="s">
        <v>257</v>
      </c>
      <c r="B745" s="29" t="str">
        <f ca="1">IFERROR(INDEX(UNSPSCDes,MATCH(INDIRECT(ADDRESS(ROW(),COLUMN()-1,4)),UNSPSCCode,0)),IF(INDIRECT(ADDRESS(ROW(),COLUMN()-1,4))="52141523","Teteras eléctricas para uso doméstico",""))</f>
        <v>Teteras eléctricas para uso doméstico</v>
      </c>
      <c r="C745" s="30" t="str">
        <f>IFERROR(VLOOKUP("UD",'[1]Informacion '!P:Q,2,FALSE),"")</f>
        <v>Unidad</v>
      </c>
      <c r="D745" s="28">
        <v>2</v>
      </c>
      <c r="E745" s="31">
        <v>3500</v>
      </c>
      <c r="F745" s="32">
        <f t="shared" ca="1" si="9"/>
        <v>7000</v>
      </c>
    </row>
    <row r="746" spans="1:6" x14ac:dyDescent="0.3">
      <c r="A746" s="28" t="s">
        <v>258</v>
      </c>
      <c r="B746" s="29" t="str">
        <f ca="1">IFERROR(INDEX(UNSPSCDes,MATCH(INDIRECT(ADDRESS(ROW(),COLUMN()-1,4)),UNSPSCCode,0)),IF(INDIRECT(ADDRESS(ROW(),COLUMN()-1,4))="52152104","Copas para uso doméstico",""))</f>
        <v>Copas para uso doméstico</v>
      </c>
      <c r="C746" s="30" t="str">
        <f>IFERROR(VLOOKUP("UD",'[1]Informacion '!P:Q,2,FALSE),"")</f>
        <v>Unidad</v>
      </c>
      <c r="D746" s="28">
        <v>24</v>
      </c>
      <c r="E746" s="31">
        <v>283.2</v>
      </c>
      <c r="F746" s="32">
        <f t="shared" ca="1" si="9"/>
        <v>6796.7999999999993</v>
      </c>
    </row>
    <row r="747" spans="1:6" x14ac:dyDescent="0.3">
      <c r="A747" s="28" t="s">
        <v>259</v>
      </c>
      <c r="B747" s="29" t="str">
        <f ca="1">IFERROR(INDEX(UNSPSCDes,MATCH(INDIRECT(ADDRESS(ROW(),COLUMN()-1,4)),UNSPSCCode,0)),IF(INDIRECT(ADDRESS(ROW(),COLUMN()-1,4))="48101801","Cubiertos para uso comercial",""))</f>
        <v>Cubiertos para uso comercial</v>
      </c>
      <c r="C747" s="30" t="str">
        <f>IFERROR(VLOOKUP("DOC",'[1]Informacion '!P:Q,2,FALSE),"")</f>
        <v>Docena</v>
      </c>
      <c r="D747" s="28">
        <v>5</v>
      </c>
      <c r="E747" s="31">
        <v>950</v>
      </c>
      <c r="F747" s="32">
        <f t="shared" ca="1" si="9"/>
        <v>4750</v>
      </c>
    </row>
    <row r="748" spans="1:6" x14ac:dyDescent="0.3">
      <c r="A748" s="28" t="s">
        <v>260</v>
      </c>
      <c r="B748" s="29" t="str">
        <f ca="1">IFERROR(INDEX(UNSPSCDes,MATCH(INDIRECT(ADDRESS(ROW(),COLUMN()-1,4)),UNSPSCCode,0)),IF(INDIRECT(ADDRESS(ROW(),COLUMN()-1,4))="52151704","Cucharas para uso doméstico",""))</f>
        <v>Cucharas para uso doméstico</v>
      </c>
      <c r="C748" s="30" t="str">
        <f>IFERROR(VLOOKUP("DOC",'[1]Informacion '!P:Q,2,FALSE),"")</f>
        <v>Docena</v>
      </c>
      <c r="D748" s="28">
        <v>5</v>
      </c>
      <c r="E748" s="31">
        <v>950</v>
      </c>
      <c r="F748" s="32">
        <f t="shared" ca="1" si="9"/>
        <v>4750</v>
      </c>
    </row>
    <row r="749" spans="1:6" x14ac:dyDescent="0.3">
      <c r="A749" s="28" t="s">
        <v>261</v>
      </c>
      <c r="B749" s="29" t="str">
        <f ca="1">IFERROR(INDEX(UNSPSCDes,MATCH(INDIRECT(ADDRESS(ROW(),COLUMN()-1,4)),UNSPSCCode,0)),IF(INDIRECT(ADDRESS(ROW(),COLUMN()-1,4))="52151702","Cuchillos para uso doméstico",""))</f>
        <v>Cuchillos para uso doméstico</v>
      </c>
      <c r="C749" s="30" t="str">
        <f>IFERROR(VLOOKUP("DOC",'[1]Informacion '!P:Q,2,FALSE),"")</f>
        <v>Docena</v>
      </c>
      <c r="D749" s="28">
        <v>5</v>
      </c>
      <c r="E749" s="31">
        <v>950</v>
      </c>
      <c r="F749" s="32">
        <f t="shared" ca="1" si="9"/>
        <v>4750</v>
      </c>
    </row>
    <row r="750" spans="1:6" x14ac:dyDescent="0.3">
      <c r="A750" s="28" t="s">
        <v>262</v>
      </c>
      <c r="B750" s="29" t="str">
        <f ca="1">IFERROR(INDEX(UNSPSCDes,MATCH(INDIRECT(ADDRESS(ROW(),COLUMN()-1,4)),UNSPSCCode,0)),IF(INDIRECT(ADDRESS(ROW(),COLUMN()-1,4))="48101915","Bandejas para servicio de comidas",""))</f>
        <v>Bandejas para servicio de comidas</v>
      </c>
      <c r="C750" s="30" t="str">
        <f>IFERROR(VLOOKUP("UD",'[1]Informacion '!P:Q,2,FALSE),"")</f>
        <v>Unidad</v>
      </c>
      <c r="D750" s="28">
        <v>6</v>
      </c>
      <c r="E750" s="31">
        <v>650</v>
      </c>
      <c r="F750" s="32">
        <f t="shared" ca="1" si="9"/>
        <v>3900</v>
      </c>
    </row>
    <row r="751" spans="1:6" x14ac:dyDescent="0.3">
      <c r="A751" s="28" t="s">
        <v>263</v>
      </c>
      <c r="B751" s="29" t="str">
        <f ca="1">IFERROR(INDEX(UNSPSCDes,MATCH(INDIRECT(ADDRESS(ROW(),COLUMN()-1,4)),UNSPSCCode,0)),IF(INDIRECT(ADDRESS(ROW(),COLUMN()-1,4))="52141511","Exprimidores de jugo para uso doméstico",""))</f>
        <v>Exprimidores de jugo para uso doméstico</v>
      </c>
      <c r="C751" s="30" t="str">
        <f>IFERROR(VLOOKUP("UD",'[1]Informacion '!P:Q,2,FALSE),"")</f>
        <v>Unidad</v>
      </c>
      <c r="D751" s="28">
        <v>2</v>
      </c>
      <c r="E751" s="31">
        <v>3700</v>
      </c>
      <c r="F751" s="32">
        <f t="shared" ca="1" si="9"/>
        <v>7400</v>
      </c>
    </row>
    <row r="752" spans="1:6" x14ac:dyDescent="0.3">
      <c r="A752" s="28" t="s">
        <v>260</v>
      </c>
      <c r="B752" s="29" t="str">
        <f ca="1">IFERROR(INDEX(UNSPSCDes,MATCH(INDIRECT(ADDRESS(ROW(),COLUMN()-1,4)),UNSPSCCode,0)),IF(INDIRECT(ADDRESS(ROW(),COLUMN()-1,4))="52151704","Cucharas para uso doméstico",""))</f>
        <v>Cucharas para uso doméstico</v>
      </c>
      <c r="C752" s="30" t="str">
        <f>IFERROR(VLOOKUP("DOC",'[1]Informacion '!P:Q,2,FALSE),"")</f>
        <v>Docena</v>
      </c>
      <c r="D752" s="28">
        <v>3</v>
      </c>
      <c r="E752" s="31">
        <v>500</v>
      </c>
      <c r="F752" s="32">
        <f t="shared" ca="1" si="9"/>
        <v>1500</v>
      </c>
    </row>
    <row r="753" spans="1:6" x14ac:dyDescent="0.3">
      <c r="A753" s="28" t="s">
        <v>264</v>
      </c>
      <c r="B753" s="29" t="str">
        <f ca="1">IFERROR(INDEX(UNSPSCDes,MATCH(INDIRECT(ADDRESS(ROW(),COLUMN()-1,4)),UNSPSCCode,0)),IF(INDIRECT(ADDRESS(ROW(),COLUMN()-1,4))="48101803","Cucharones para uso comercial",""))</f>
        <v>Cucharones para uso comercial</v>
      </c>
      <c r="C753" s="30" t="str">
        <f>IFERROR(VLOOKUP("PAQ",'[1]Informacion '!P:Q,2,FALSE),"")</f>
        <v>Paquete</v>
      </c>
      <c r="D753" s="28">
        <v>2</v>
      </c>
      <c r="E753" s="31">
        <v>1100</v>
      </c>
      <c r="F753" s="32">
        <f t="shared" ca="1" si="9"/>
        <v>2200</v>
      </c>
    </row>
    <row r="754" spans="1:6" x14ac:dyDescent="0.3">
      <c r="A754" s="28" t="s">
        <v>265</v>
      </c>
      <c r="B754" s="29" t="str">
        <f ca="1">IFERROR(INDEX(UNSPSCDes,MATCH(INDIRECT(ADDRESS(ROW(),COLUMN()-1,4)),UNSPSCCode,0)),IF(INDIRECT(ADDRESS(ROW(),COLUMN()-1,4))="52151708","Cuchillos para mantequilla",""))</f>
        <v>Cuchillos para mantequilla</v>
      </c>
      <c r="C754" s="30" t="str">
        <f>IFERROR(VLOOKUP("UD",'[1]Informacion '!P:Q,2,FALSE),"")</f>
        <v>Unidad</v>
      </c>
      <c r="D754" s="28">
        <v>6</v>
      </c>
      <c r="E754" s="31">
        <v>275</v>
      </c>
      <c r="F754" s="32">
        <f t="shared" ca="1" si="9"/>
        <v>1650</v>
      </c>
    </row>
    <row r="755" spans="1:6" x14ac:dyDescent="0.3">
      <c r="A755" s="28" t="s">
        <v>266</v>
      </c>
      <c r="B755" s="29" t="str">
        <f ca="1">IFERROR(INDEX(UNSPSCDes,MATCH(INDIRECT(ADDRESS(ROW(),COLUMN()-1,4)),UNSPSCCode,0)),IF(INDIRECT(ADDRESS(ROW(),COLUMN()-1,4))="52152202","Escurridor de platos",""))</f>
        <v>Escurridor de platos</v>
      </c>
      <c r="C755" s="30" t="str">
        <f>IFERROR(VLOOKUP("UD",'[1]Informacion '!P:Q,2,FALSE),"")</f>
        <v>Unidad</v>
      </c>
      <c r="D755" s="28">
        <v>3</v>
      </c>
      <c r="E755" s="31">
        <v>2400</v>
      </c>
      <c r="F755" s="32">
        <f t="shared" ca="1" si="9"/>
        <v>7200</v>
      </c>
    </row>
    <row r="756" spans="1:6" x14ac:dyDescent="0.3">
      <c r="A756" s="28" t="s">
        <v>267</v>
      </c>
      <c r="B756" s="29" t="str">
        <f ca="1">IFERROR(INDEX(UNSPSCDes,MATCH(INDIRECT(ADDRESS(ROW(),COLUMN()-1,4)),UNSPSCCode,0)),IF(INDIRECT(ADDRESS(ROW(),COLUMN()-1,4))="52151616","Espátulas de cocina para uso doméstico",""))</f>
        <v>Espátulas de cocina para uso doméstico</v>
      </c>
      <c r="C756" s="30" t="str">
        <f>IFERROR(VLOOKUP("UD",'[1]Informacion '!P:Q,2,FALSE),"")</f>
        <v>Unidad</v>
      </c>
      <c r="D756" s="28">
        <v>3</v>
      </c>
      <c r="E756" s="31">
        <v>225</v>
      </c>
      <c r="F756" s="32">
        <f t="shared" ca="1" si="9"/>
        <v>675</v>
      </c>
    </row>
    <row r="757" spans="1:6" x14ac:dyDescent="0.3">
      <c r="A757" s="28" t="s">
        <v>268</v>
      </c>
      <c r="B757" s="29" t="str">
        <f ca="1">IFERROR(INDEX(UNSPSCDes,MATCH(INDIRECT(ADDRESS(ROW(),COLUMN()-1,4)),UNSPSCCode,0)),IF(INDIRECT(ADDRESS(ROW(),COLUMN()-1,4))="24112601","Jarras",""))</f>
        <v>Jarras</v>
      </c>
      <c r="C757" s="30" t="str">
        <f>IFERROR(VLOOKUP("UD",'[1]Informacion '!P:Q,2,FALSE),"")</f>
        <v>Unidad</v>
      </c>
      <c r="D757" s="28">
        <v>5</v>
      </c>
      <c r="E757" s="31">
        <v>225</v>
      </c>
      <c r="F757" s="32">
        <f t="shared" ca="1" si="9"/>
        <v>1125</v>
      </c>
    </row>
    <row r="758" spans="1:6" x14ac:dyDescent="0.3">
      <c r="A758" s="28" t="s">
        <v>269</v>
      </c>
      <c r="B758" s="29" t="str">
        <f ca="1">IFERROR(INDEX(UNSPSCDes,MATCH(INDIRECT(ADDRESS(ROW(),COLUMN()-1,4)),UNSPSCCode,0)),IF(INDIRECT(ADDRESS(ROW(),COLUMN()-1,4))="52152004","Platos para uso doméstico",""))</f>
        <v>Platos para uso doméstico</v>
      </c>
      <c r="C758" s="30" t="str">
        <f>IFERROR(VLOOKUP("UD",'[1]Informacion '!P:Q,2,FALSE),"")</f>
        <v>Unidad</v>
      </c>
      <c r="D758" s="28">
        <v>12</v>
      </c>
      <c r="E758" s="31">
        <v>375</v>
      </c>
      <c r="F758" s="32">
        <f t="shared" ca="1" si="9"/>
        <v>4500</v>
      </c>
    </row>
    <row r="759" spans="1:6" x14ac:dyDescent="0.3">
      <c r="A759" s="28" t="s">
        <v>270</v>
      </c>
      <c r="B759" s="29" t="str">
        <f ca="1">IFERROR(INDEX(UNSPSCDes,MATCH(INDIRECT(ADDRESS(ROW(),COLUMN()-1,4)),UNSPSCCode,0)),IF(INDIRECT(ADDRESS(ROW(),COLUMN()-1,4))="52152005","Platos pequeños para uso doméstico",""))</f>
        <v>Platos pequeños para uso doméstico</v>
      </c>
      <c r="C759" s="30" t="str">
        <f>IFERROR(VLOOKUP("UD",'[1]Informacion '!P:Q,2,FALSE),"")</f>
        <v>Unidad</v>
      </c>
      <c r="D759" s="28">
        <v>12</v>
      </c>
      <c r="E759" s="31">
        <v>285</v>
      </c>
      <c r="F759" s="32">
        <f t="shared" ca="1" si="9"/>
        <v>3420</v>
      </c>
    </row>
    <row r="760" spans="1:6" x14ac:dyDescent="0.3">
      <c r="A760" s="28" t="s">
        <v>271</v>
      </c>
      <c r="B760" s="29" t="str">
        <f ca="1">IFERROR(INDEX(UNSPSCDes,MATCH(INDIRECT(ADDRESS(ROW(),COLUMN()-1,4)),UNSPSCCode,0)),IF(INDIRECT(ADDRESS(ROW(),COLUMN()-1,4))="52152013","Saleros, pimenteros o especieros",""))</f>
        <v>Saleros, pimenteros o especieros</v>
      </c>
      <c r="C760" s="30" t="str">
        <f>IFERROR(VLOOKUP("UD",'[1]Informacion '!P:Q,2,FALSE),"")</f>
        <v>Unidad</v>
      </c>
      <c r="D760" s="28">
        <v>1</v>
      </c>
      <c r="E760" s="31">
        <v>1380</v>
      </c>
      <c r="F760" s="32">
        <f t="shared" ca="1" si="9"/>
        <v>1380</v>
      </c>
    </row>
    <row r="761" spans="1:6" x14ac:dyDescent="0.3">
      <c r="A761" s="28" t="s">
        <v>272</v>
      </c>
      <c r="B761" s="29" t="str">
        <f ca="1">IFERROR(INDEX(UNSPSCDes,MATCH(INDIRECT(ADDRESS(ROW(),COLUMN()-1,4)),UNSPSCCode,0)),IF(INDIRECT(ADDRESS(ROW(),COLUMN()-1,4))="52152009","Soperas o ensaladeras para uso doméstico",""))</f>
        <v>Soperas o ensaladeras para uso doméstico</v>
      </c>
      <c r="C761" s="30" t="str">
        <f>IFERROR(VLOOKUP("UD",'[1]Informacion '!P:Q,2,FALSE),"")</f>
        <v>Unidad</v>
      </c>
      <c r="D761" s="28">
        <v>12</v>
      </c>
      <c r="E761" s="31">
        <v>600</v>
      </c>
      <c r="F761" s="32">
        <f t="shared" ca="1" si="9"/>
        <v>7200</v>
      </c>
    </row>
    <row r="762" spans="1:6" x14ac:dyDescent="0.3">
      <c r="A762" s="28" t="s">
        <v>273</v>
      </c>
      <c r="B762" s="29" t="str">
        <f ca="1">IFERROR(INDEX(UNSPSCDes,MATCH(INDIRECT(ADDRESS(ROW(),COLUMN()-1,4)),UNSPSCCode,0)),IF(INDIRECT(ADDRESS(ROW(),COLUMN()-1,4))="52151606","Tablas para cortar para uso doméstico",""))</f>
        <v>Tablas para cortar para uso doméstico</v>
      </c>
      <c r="C762" s="30" t="str">
        <f>IFERROR(VLOOKUP("UD",'[1]Informacion '!P:Q,2,FALSE),"")</f>
        <v>Unidad</v>
      </c>
      <c r="D762" s="28">
        <v>3</v>
      </c>
      <c r="E762" s="31">
        <v>570</v>
      </c>
      <c r="F762" s="32">
        <f t="shared" ca="1" si="9"/>
        <v>1710</v>
      </c>
    </row>
    <row r="763" spans="1:6" x14ac:dyDescent="0.3">
      <c r="A763" s="28" t="s">
        <v>274</v>
      </c>
      <c r="B763" s="29" t="str">
        <f ca="1">IFERROR(INDEX(UNSPSCDes,MATCH(INDIRECT(ADDRESS(ROW(),COLUMN()-1,4)),UNSPSCCode,0)),IF(INDIRECT(ADDRESS(ROW(),COLUMN()-1,4))="52152101","Tazas de café o té para uso doméstico",""))</f>
        <v>Tazas de café o té para uso doméstico</v>
      </c>
      <c r="C763" s="30" t="str">
        <f>IFERROR(VLOOKUP("DOC",'[1]Informacion '!P:Q,2,FALSE),"")</f>
        <v>Docena</v>
      </c>
      <c r="D763" s="28">
        <v>2</v>
      </c>
      <c r="E763" s="31">
        <v>3327.6</v>
      </c>
      <c r="F763" s="32">
        <f t="shared" ca="1" si="9"/>
        <v>6655.2</v>
      </c>
    </row>
    <row r="764" spans="1:6" x14ac:dyDescent="0.3">
      <c r="A764" s="28" t="s">
        <v>275</v>
      </c>
      <c r="B764" s="29" t="str">
        <f ca="1">IFERROR(INDEX(UNSPSCDes,MATCH(INDIRECT(ADDRESS(ROW(),COLUMN()-1,4)),UNSPSCCode,0)),IF(INDIRECT(ADDRESS(ROW(),COLUMN()-1,4))="48101909","Teteras o cafeteras para servicio de comidas",""))</f>
        <v>Teteras o cafeteras para servicio de comidas</v>
      </c>
      <c r="C764" s="30" t="str">
        <f>IFERROR(VLOOKUP("UD",'[1]Informacion '!P:Q,2,FALSE),"")</f>
        <v>Unidad</v>
      </c>
      <c r="D764" s="28">
        <v>3</v>
      </c>
      <c r="E764" s="31">
        <v>700</v>
      </c>
      <c r="F764" s="32">
        <f t="shared" ca="1" si="9"/>
        <v>2100</v>
      </c>
    </row>
    <row r="765" spans="1:6" x14ac:dyDescent="0.3">
      <c r="A765" s="28" t="s">
        <v>276</v>
      </c>
      <c r="B765" s="29" t="str">
        <f ca="1">IFERROR(INDEX(UNSPSCDes,MATCH(INDIRECT(ADDRESS(ROW(),COLUMN()-1,4)),UNSPSCCode,0)),IF(INDIRECT(ADDRESS(ROW(),COLUMN()-1,4))="52152102","Vasos para beber para uso doméstico",""))</f>
        <v>Vasos para beber para uso doméstico</v>
      </c>
      <c r="C765" s="30" t="str">
        <f>IFERROR(VLOOKUP("DOC",'[1]Informacion '!P:Q,2,FALSE),"")</f>
        <v>Docena</v>
      </c>
      <c r="D765" s="28">
        <v>3</v>
      </c>
      <c r="E765" s="31">
        <v>4956</v>
      </c>
      <c r="F765" s="32">
        <f t="shared" ca="1" si="9"/>
        <v>14868</v>
      </c>
    </row>
    <row r="766" spans="1:6" x14ac:dyDescent="0.3">
      <c r="A766" s="28" t="s">
        <v>258</v>
      </c>
      <c r="B766" s="29" t="str">
        <f ca="1">IFERROR(INDEX(UNSPSCDes,MATCH(INDIRECT(ADDRESS(ROW(),COLUMN()-1,4)),UNSPSCCode,0)),IF(INDIRECT(ADDRESS(ROW(),COLUMN()-1,4))="52152104","Copas para uso doméstico",""))</f>
        <v>Copas para uso doméstico</v>
      </c>
      <c r="C766" s="30" t="str">
        <f>IFERROR(VLOOKUP("UD",'[1]Informacion '!P:Q,2,FALSE),"")</f>
        <v>Unidad</v>
      </c>
      <c r="D766" s="28">
        <v>12</v>
      </c>
      <c r="E766" s="31">
        <v>566.4</v>
      </c>
      <c r="F766" s="32">
        <f t="shared" ca="1" si="9"/>
        <v>6796.7999999999993</v>
      </c>
    </row>
    <row r="767" spans="1:6" x14ac:dyDescent="0.3">
      <c r="A767" s="28" t="s">
        <v>271</v>
      </c>
      <c r="B767" s="29" t="str">
        <f ca="1">IFERROR(INDEX(UNSPSCDes,MATCH(INDIRECT(ADDRESS(ROW(),COLUMN()-1,4)),UNSPSCCode,0)),IF(INDIRECT(ADDRESS(ROW(),COLUMN()-1,4))="52152013","Saleros, pimenteros o especieros",""))</f>
        <v>Saleros, pimenteros o especieros</v>
      </c>
      <c r="C767" s="30" t="str">
        <f>IFERROR(VLOOKUP("UD",'[1]Informacion '!P:Q,2,FALSE),"")</f>
        <v>Unidad</v>
      </c>
      <c r="D767" s="28">
        <v>3</v>
      </c>
      <c r="E767" s="31">
        <v>775</v>
      </c>
      <c r="F767" s="32">
        <f t="shared" ca="1" si="9"/>
        <v>2325</v>
      </c>
    </row>
    <row r="768" spans="1:6" x14ac:dyDescent="0.3">
      <c r="A768" s="19"/>
      <c r="B768" s="19"/>
      <c r="C768" s="19"/>
      <c r="D768" s="19"/>
      <c r="E768" s="33" t="s">
        <v>48</v>
      </c>
      <c r="F768" s="34">
        <f ca="1">SUM(Table48[MONTO TOTAL ESTIMADO])</f>
        <v>158651.79999999999</v>
      </c>
    </row>
    <row r="769" spans="1:6" ht="15" thickBot="1" x14ac:dyDescent="0.35">
      <c r="A769" s="19"/>
      <c r="B769" s="19"/>
      <c r="C769" s="19"/>
      <c r="D769" s="19"/>
      <c r="E769" s="19"/>
      <c r="F769" s="19"/>
    </row>
    <row r="770" spans="1:6" ht="21" thickBot="1" x14ac:dyDescent="0.35">
      <c r="A770" s="20" t="s">
        <v>19</v>
      </c>
      <c r="B770" s="20" t="s">
        <v>20</v>
      </c>
      <c r="C770" s="20" t="s">
        <v>21</v>
      </c>
      <c r="D770" s="20" t="s">
        <v>22</v>
      </c>
      <c r="E770" s="20" t="s">
        <v>23</v>
      </c>
      <c r="F770" s="20" t="s">
        <v>24</v>
      </c>
    </row>
    <row r="771" spans="1:6" ht="15" thickBot="1" x14ac:dyDescent="0.35">
      <c r="A771" s="21" t="s">
        <v>277</v>
      </c>
      <c r="B771" s="21" t="s">
        <v>278</v>
      </c>
      <c r="C771" s="21" t="s">
        <v>60</v>
      </c>
      <c r="D771" s="21" t="s">
        <v>28</v>
      </c>
      <c r="E771" s="21" t="s">
        <v>29</v>
      </c>
      <c r="F771" s="21" t="s">
        <v>18</v>
      </c>
    </row>
    <row r="772" spans="1:6" ht="15" thickBot="1" x14ac:dyDescent="0.35">
      <c r="A772" s="41" t="s">
        <v>30</v>
      </c>
      <c r="B772" s="22" t="s">
        <v>31</v>
      </c>
      <c r="C772" s="23">
        <v>45000</v>
      </c>
      <c r="D772" s="41" t="s">
        <v>32</v>
      </c>
      <c r="E772" s="24" t="s">
        <v>33</v>
      </c>
      <c r="F772" s="25" t="s">
        <v>34</v>
      </c>
    </row>
    <row r="773" spans="1:6" ht="15" thickBot="1" x14ac:dyDescent="0.35">
      <c r="A773" s="42"/>
      <c r="B773" s="22" t="s">
        <v>35</v>
      </c>
      <c r="C773" s="26">
        <f>IF(C772="","",IF(AND(MONTH(C772)&gt;=1,MONTH(C772)&lt;=3),1,IF(AND(MONTH(C772)&gt;=4,MONTH(C772)&lt;=6),2,IF(AND(MONTH(C772)&gt;=7,MONTH(C772)&lt;=9),3,4))))</f>
        <v>1</v>
      </c>
      <c r="D773" s="42"/>
      <c r="E773" s="24" t="s">
        <v>36</v>
      </c>
      <c r="F773" s="25" t="s">
        <v>37</v>
      </c>
    </row>
    <row r="774" spans="1:6" ht="15" thickBot="1" x14ac:dyDescent="0.35">
      <c r="A774" s="42"/>
      <c r="B774" s="22" t="s">
        <v>38</v>
      </c>
      <c r="C774" s="23">
        <v>45031</v>
      </c>
      <c r="D774" s="42"/>
      <c r="E774" s="24" t="s">
        <v>39</v>
      </c>
      <c r="F774" s="25" t="s">
        <v>37</v>
      </c>
    </row>
    <row r="775" spans="1:6" ht="15" thickBot="1" x14ac:dyDescent="0.35">
      <c r="A775" s="42"/>
      <c r="B775" s="22" t="s">
        <v>35</v>
      </c>
      <c r="C775" s="26">
        <f>IF(C774="","",IF(AND(MONTH(C774)&gt;=1,MONTH(C774)&lt;=3),1,IF(AND(MONTH(C774)&gt;=4,MONTH(C774)&lt;=6),2,IF(AND(MONTH(C774)&gt;=7,MONTH(C774)&lt;=9),3,4))))</f>
        <v>2</v>
      </c>
      <c r="D775" s="42"/>
      <c r="E775" s="24" t="s">
        <v>40</v>
      </c>
      <c r="F775" s="25"/>
    </row>
    <row r="776" spans="1:6" ht="15" thickBot="1" x14ac:dyDescent="0.35">
      <c r="A776" s="19"/>
      <c r="B776" s="19"/>
      <c r="C776" s="19"/>
      <c r="D776" s="19"/>
      <c r="E776" s="19"/>
      <c r="F776" s="19"/>
    </row>
    <row r="777" spans="1:6" ht="15" thickBot="1" x14ac:dyDescent="0.35">
      <c r="A777" s="27" t="s">
        <v>41</v>
      </c>
      <c r="B777" s="27" t="s">
        <v>42</v>
      </c>
      <c r="C777" s="27" t="s">
        <v>43</v>
      </c>
      <c r="D777" s="27" t="s">
        <v>44</v>
      </c>
      <c r="E777" s="27" t="s">
        <v>45</v>
      </c>
      <c r="F777" s="27" t="s">
        <v>46</v>
      </c>
    </row>
    <row r="778" spans="1:6" x14ac:dyDescent="0.3">
      <c r="A778" s="28" t="s">
        <v>279</v>
      </c>
      <c r="B778" s="29" t="str">
        <f ca="1">IFERROR(INDEX(UNSPSCDes,MATCH(INDIRECT(ADDRESS(ROW(),COLUMN()-1,4)),UNSPSCCode,0)),IF(INDIRECT(ADDRESS(ROW(),COLUMN()-1,4))="39121407","Strips de conexiones",""))</f>
        <v>Strips de conexiones</v>
      </c>
      <c r="C778" s="30" t="str">
        <f>IFERROR(VLOOKUP("UD",'[1]Informacion '!P:Q,2,FALSE),"")</f>
        <v>Unidad</v>
      </c>
      <c r="D778" s="28">
        <v>60</v>
      </c>
      <c r="E778" s="31">
        <v>660</v>
      </c>
      <c r="F778" s="32">
        <f t="shared" ref="F778:F790" ca="1" si="10">INDIRECT(ADDRESS(ROW(),COLUMN()-2,4))*INDIRECT(ADDRESS(ROW(),COLUMN()-1,4))</f>
        <v>39600</v>
      </c>
    </row>
    <row r="779" spans="1:6" x14ac:dyDescent="0.3">
      <c r="A779" s="28" t="s">
        <v>280</v>
      </c>
      <c r="B779" s="29" t="str">
        <f ca="1">IFERROR(INDEX(UNSPSCDes,MATCH(INDIRECT(ADDRESS(ROW(),COLUMN()-1,4)),UNSPSCCode,0)),IF(INDIRECT(ADDRESS(ROW(),COLUMN()-1,4))="39121402","Enchufes eléctricos",""))</f>
        <v>Enchufes eléctricos</v>
      </c>
      <c r="C779" s="30" t="str">
        <f>IFERROR(VLOOKUP("UD",'[1]Informacion '!P:Q,2,FALSE),"")</f>
        <v>Unidad</v>
      </c>
      <c r="D779" s="28">
        <v>50</v>
      </c>
      <c r="E779" s="31">
        <v>275</v>
      </c>
      <c r="F779" s="32">
        <f t="shared" ca="1" si="10"/>
        <v>13750</v>
      </c>
    </row>
    <row r="780" spans="1:6" x14ac:dyDescent="0.3">
      <c r="A780" s="28" t="s">
        <v>281</v>
      </c>
      <c r="B780" s="29" t="str">
        <f ca="1">IFERROR(INDEX(UNSPSCDes,MATCH(INDIRECT(ADDRESS(ROW(),COLUMN()-1,4)),UNSPSCCode,0)),IF(INDIRECT(ADDRESS(ROW(),COLUMN()-1,4))="39121525","Interruptores infusibles",""))</f>
        <v>Interruptores infusibles</v>
      </c>
      <c r="C780" s="30" t="str">
        <f>IFERROR(VLOOKUP("PAQ",'[1]Informacion '!P:Q,2,FALSE),"")</f>
        <v>Paquete</v>
      </c>
      <c r="D780" s="28">
        <v>8</v>
      </c>
      <c r="E780" s="31">
        <v>640</v>
      </c>
      <c r="F780" s="32">
        <f t="shared" ca="1" si="10"/>
        <v>5120</v>
      </c>
    </row>
    <row r="781" spans="1:6" x14ac:dyDescent="0.3">
      <c r="A781" s="28" t="s">
        <v>282</v>
      </c>
      <c r="B781" s="29" t="str">
        <f ca="1">IFERROR(INDEX(UNSPSCDes,MATCH(INDIRECT(ADDRESS(ROW(),COLUMN()-1,4)),UNSPSCCode,0)),IF(INDIRECT(ADDRESS(ROW(),COLUMN()-1,4))="39121721","Aislantes eléctricos",""))</f>
        <v>Aislantes eléctricos</v>
      </c>
      <c r="C781" s="30" t="str">
        <f>IFERROR(VLOOKUP("CAJ",'[1]Informacion '!P:Q,2,FALSE),"")</f>
        <v>Caja</v>
      </c>
      <c r="D781" s="28">
        <v>4</v>
      </c>
      <c r="E781" s="31">
        <v>317</v>
      </c>
      <c r="F781" s="32">
        <f t="shared" ca="1" si="10"/>
        <v>1268</v>
      </c>
    </row>
    <row r="782" spans="1:6" x14ac:dyDescent="0.3">
      <c r="A782" s="28" t="s">
        <v>283</v>
      </c>
      <c r="B782" s="29" t="str">
        <f ca="1">IFERROR(INDEX(UNSPSCDes,MATCH(INDIRECT(ADDRESS(ROW(),COLUMN()-1,4)),UNSPSCCode,0)),IF(INDIRECT(ADDRESS(ROW(),COLUMN()-1,4))="39121601","Breakers de circuito",""))</f>
        <v>Breakers de circuito</v>
      </c>
      <c r="C782" s="30" t="str">
        <f>IFERROR(VLOOKUP("UD",'[1]Informacion '!P:Q,2,FALSE),"")</f>
        <v>Unidad</v>
      </c>
      <c r="D782" s="28">
        <v>50</v>
      </c>
      <c r="E782" s="31">
        <v>480</v>
      </c>
      <c r="F782" s="32">
        <f t="shared" ca="1" si="10"/>
        <v>24000</v>
      </c>
    </row>
    <row r="783" spans="1:6" x14ac:dyDescent="0.3">
      <c r="A783" s="28" t="s">
        <v>284</v>
      </c>
      <c r="B783" s="29" t="str">
        <f ca="1">IFERROR(INDEX(UNSPSCDes,MATCH(INDIRECT(ADDRESS(ROW(),COLUMN()-1,4)),UNSPSCCode,0)),IF(INDIRECT(ADDRESS(ROW(),COLUMN()-1,4))="39121009","Reguladores eléctricos o de potencia",""))</f>
        <v>Reguladores eléctricos o de potencia</v>
      </c>
      <c r="C783" s="30" t="str">
        <f>IFERROR(VLOOKUP("UD",'[1]Informacion '!P:Q,2,FALSE),"")</f>
        <v>Unidad</v>
      </c>
      <c r="D783" s="28">
        <v>12</v>
      </c>
      <c r="E783" s="31">
        <v>850</v>
      </c>
      <c r="F783" s="32">
        <f t="shared" ca="1" si="10"/>
        <v>10200</v>
      </c>
    </row>
    <row r="784" spans="1:6" x14ac:dyDescent="0.3">
      <c r="A784" s="28" t="s">
        <v>285</v>
      </c>
      <c r="B784" s="29" t="str">
        <f ca="1">IFERROR(INDEX(UNSPSCDes,MATCH(INDIRECT(ADDRESS(ROW(),COLUMN()-1,4)),UNSPSCCode,0)),IF(INDIRECT(ADDRESS(ROW(),COLUMN()-1,4))="41113601","Amperímetros",""))</f>
        <v>Amperímetros</v>
      </c>
      <c r="C784" s="30" t="str">
        <f>IFERROR(VLOOKUP("UD",'[1]Informacion '!P:Q,2,FALSE),"")</f>
        <v>Unidad</v>
      </c>
      <c r="D784" s="28">
        <v>2</v>
      </c>
      <c r="E784" s="31">
        <v>13500</v>
      </c>
      <c r="F784" s="32">
        <f t="shared" ca="1" si="10"/>
        <v>27000</v>
      </c>
    </row>
    <row r="785" spans="1:6" x14ac:dyDescent="0.3">
      <c r="A785" s="28" t="s">
        <v>283</v>
      </c>
      <c r="B785" s="29" t="str">
        <f ca="1">IFERROR(INDEX(UNSPSCDes,MATCH(INDIRECT(ADDRESS(ROW(),COLUMN()-1,4)),UNSPSCCode,0)),IF(INDIRECT(ADDRESS(ROW(),COLUMN()-1,4))="39121601","Breakers de circuito",""))</f>
        <v>Breakers de circuito</v>
      </c>
      <c r="C785" s="30" t="str">
        <f>IFERROR(VLOOKUP("UD",'[1]Informacion '!P:Q,2,FALSE),"")</f>
        <v>Unidad</v>
      </c>
      <c r="D785" s="28">
        <v>50</v>
      </c>
      <c r="E785" s="31">
        <v>395</v>
      </c>
      <c r="F785" s="32">
        <f t="shared" ca="1" si="10"/>
        <v>19750</v>
      </c>
    </row>
    <row r="786" spans="1:6" x14ac:dyDescent="0.3">
      <c r="A786" s="28" t="s">
        <v>286</v>
      </c>
      <c r="B786" s="29" t="str">
        <f ca="1">IFERROR(INDEX(UNSPSCDes,MATCH(INDIRECT(ADDRESS(ROW(),COLUMN()-1,4)),UNSPSCCode,0)),IF(INDIRECT(ADDRESS(ROW(),COLUMN()-1,4))="40101502","Extractores de aire",""))</f>
        <v>Extractores de aire</v>
      </c>
      <c r="C786" s="30" t="str">
        <f>IFERROR(VLOOKUP("UD",'[1]Informacion '!P:Q,2,FALSE),"")</f>
        <v>Unidad</v>
      </c>
      <c r="D786" s="28">
        <v>15</v>
      </c>
      <c r="E786" s="31">
        <v>3800</v>
      </c>
      <c r="F786" s="32">
        <f t="shared" ca="1" si="10"/>
        <v>57000</v>
      </c>
    </row>
    <row r="787" spans="1:6" x14ac:dyDescent="0.3">
      <c r="A787" s="28" t="s">
        <v>287</v>
      </c>
      <c r="B787" s="29" t="str">
        <f ca="1">IFERROR(INDEX(UNSPSCDes,MATCH(INDIRECT(ADDRESS(ROW(),COLUMN()-1,4)),UNSPSCCode,0)),IF(INDIRECT(ADDRESS(ROW(),COLUMN()-1,4))="39101601","Lámparas halógenas",""))</f>
        <v>Lámparas halógenas</v>
      </c>
      <c r="C787" s="30" t="str">
        <f>IFERROR(VLOOKUP("UD",'[1]Informacion '!P:Q,2,FALSE),"")</f>
        <v>Unidad</v>
      </c>
      <c r="D787" s="28">
        <v>25</v>
      </c>
      <c r="E787" s="31">
        <v>1950</v>
      </c>
      <c r="F787" s="32">
        <f t="shared" ca="1" si="10"/>
        <v>48750</v>
      </c>
    </row>
    <row r="788" spans="1:6" x14ac:dyDescent="0.3">
      <c r="A788" s="28" t="s">
        <v>288</v>
      </c>
      <c r="B788" s="29" t="str">
        <f ca="1">IFERROR(INDEX(UNSPSCDes,MATCH(INDIRECT(ADDRESS(ROW(),COLUMN()-1,4)),UNSPSCCode,0)),IF(INDIRECT(ADDRESS(ROW(),COLUMN()-1,4))="39111812","Pantallas de lámparas",""))</f>
        <v>Pantallas de lámparas</v>
      </c>
      <c r="C788" s="30" t="str">
        <f>IFERROR(VLOOKUP("UD",'[1]Informacion '!P:Q,2,FALSE),"")</f>
        <v>Unidad</v>
      </c>
      <c r="D788" s="28">
        <v>25</v>
      </c>
      <c r="E788" s="31">
        <v>1950</v>
      </c>
      <c r="F788" s="32">
        <f t="shared" ca="1" si="10"/>
        <v>48750</v>
      </c>
    </row>
    <row r="789" spans="1:6" x14ac:dyDescent="0.3">
      <c r="A789" s="28" t="s">
        <v>289</v>
      </c>
      <c r="B789" s="29" t="str">
        <f ca="1">IFERROR(INDEX(UNSPSCDes,MATCH(INDIRECT(ADDRESS(ROW(),COLUMN()-1,4)),UNSPSCCode,0)),IF(INDIRECT(ADDRESS(ROW(),COLUMN()-1,4))="40101503","Rejilla de ventilación",""))</f>
        <v>Rejilla de ventilación</v>
      </c>
      <c r="C789" s="30" t="str">
        <f>IFERROR(VLOOKUP("UD",'[1]Informacion '!P:Q,2,FALSE),"")</f>
        <v>Unidad</v>
      </c>
      <c r="D789" s="28">
        <v>6</v>
      </c>
      <c r="E789" s="31">
        <v>4600</v>
      </c>
      <c r="F789" s="32">
        <f t="shared" ca="1" si="10"/>
        <v>27600</v>
      </c>
    </row>
    <row r="790" spans="1:6" x14ac:dyDescent="0.3">
      <c r="A790" s="28" t="s">
        <v>290</v>
      </c>
      <c r="B790" s="29" t="str">
        <f ca="1">IFERROR(INDEX(UNSPSCDes,MATCH(INDIRECT(ADDRESS(ROW(),COLUMN()-1,4)),UNSPSCCode,0)),IF(INDIRECT(ADDRESS(ROW(),COLUMN()-1,4))="26111704","Cargadores de baterías",""))</f>
        <v>Cargadores de baterías</v>
      </c>
      <c r="C790" s="30" t="str">
        <f>IFERROR(VLOOKUP("UD",'[1]Informacion '!P:Q,2,FALSE),"")</f>
        <v>Unidad</v>
      </c>
      <c r="D790" s="28">
        <v>15</v>
      </c>
      <c r="E790" s="31">
        <v>5500</v>
      </c>
      <c r="F790" s="32">
        <f t="shared" ca="1" si="10"/>
        <v>82500</v>
      </c>
    </row>
    <row r="791" spans="1:6" x14ac:dyDescent="0.3">
      <c r="A791" s="19"/>
      <c r="B791" s="19"/>
      <c r="C791" s="19"/>
      <c r="D791" s="19"/>
      <c r="E791" s="33" t="s">
        <v>48</v>
      </c>
      <c r="F791" s="34">
        <f ca="1">SUM(Table49[MONTO TOTAL ESTIMADO])</f>
        <v>405288</v>
      </c>
    </row>
    <row r="792" spans="1:6" ht="15" thickBot="1" x14ac:dyDescent="0.35">
      <c r="A792" s="19"/>
      <c r="B792" s="19"/>
      <c r="C792" s="19"/>
      <c r="D792" s="19"/>
      <c r="E792" s="19"/>
      <c r="F792" s="19"/>
    </row>
    <row r="793" spans="1:6" ht="21" thickBot="1" x14ac:dyDescent="0.35">
      <c r="A793" s="20" t="s">
        <v>19</v>
      </c>
      <c r="B793" s="20" t="s">
        <v>20</v>
      </c>
      <c r="C793" s="20" t="s">
        <v>21</v>
      </c>
      <c r="D793" s="20" t="s">
        <v>22</v>
      </c>
      <c r="E793" s="20" t="s">
        <v>23</v>
      </c>
      <c r="F793" s="20" t="s">
        <v>24</v>
      </c>
    </row>
    <row r="794" spans="1:6" ht="15" thickBot="1" x14ac:dyDescent="0.35">
      <c r="A794" s="21" t="s">
        <v>291</v>
      </c>
      <c r="B794" s="21" t="s">
        <v>291</v>
      </c>
      <c r="C794" s="21" t="s">
        <v>60</v>
      </c>
      <c r="D794" s="21" t="s">
        <v>28</v>
      </c>
      <c r="E794" s="21" t="s">
        <v>54</v>
      </c>
      <c r="F794" s="21" t="s">
        <v>18</v>
      </c>
    </row>
    <row r="795" spans="1:6" ht="15" thickBot="1" x14ac:dyDescent="0.35">
      <c r="A795" s="41" t="s">
        <v>30</v>
      </c>
      <c r="B795" s="22" t="s">
        <v>31</v>
      </c>
      <c r="C795" s="23">
        <v>44972</v>
      </c>
      <c r="D795" s="41" t="s">
        <v>32</v>
      </c>
      <c r="E795" s="24" t="s">
        <v>33</v>
      </c>
      <c r="F795" s="25" t="s">
        <v>34</v>
      </c>
    </row>
    <row r="796" spans="1:6" ht="15" thickBot="1" x14ac:dyDescent="0.35">
      <c r="A796" s="42"/>
      <c r="B796" s="22" t="s">
        <v>35</v>
      </c>
      <c r="C796" s="26">
        <f>IF(C795="","",IF(AND(MONTH(C795)&gt;=1,MONTH(C795)&lt;=3),1,IF(AND(MONTH(C795)&gt;=4,MONTH(C795)&lt;=6),2,IF(AND(MONTH(C795)&gt;=7,MONTH(C795)&lt;=9),3,4))))</f>
        <v>1</v>
      </c>
      <c r="D796" s="42"/>
      <c r="E796" s="24" t="s">
        <v>36</v>
      </c>
      <c r="F796" s="25" t="s">
        <v>37</v>
      </c>
    </row>
    <row r="797" spans="1:6" ht="15" thickBot="1" x14ac:dyDescent="0.35">
      <c r="A797" s="42"/>
      <c r="B797" s="22" t="s">
        <v>38</v>
      </c>
      <c r="C797" s="23">
        <v>45000</v>
      </c>
      <c r="D797" s="42"/>
      <c r="E797" s="24" t="s">
        <v>39</v>
      </c>
      <c r="F797" s="25" t="s">
        <v>37</v>
      </c>
    </row>
    <row r="798" spans="1:6" ht="15" thickBot="1" x14ac:dyDescent="0.35">
      <c r="A798" s="42"/>
      <c r="B798" s="22" t="s">
        <v>35</v>
      </c>
      <c r="C798" s="26">
        <f>IF(C797="","",IF(AND(MONTH(C797)&gt;=1,MONTH(C797)&lt;=3),1,IF(AND(MONTH(C797)&gt;=4,MONTH(C797)&lt;=6),2,IF(AND(MONTH(C797)&gt;=7,MONTH(C797)&lt;=9),3,4))))</f>
        <v>1</v>
      </c>
      <c r="D798" s="42"/>
      <c r="E798" s="24" t="s">
        <v>40</v>
      </c>
      <c r="F798" s="25"/>
    </row>
    <row r="799" spans="1:6" ht="15" thickBot="1" x14ac:dyDescent="0.35">
      <c r="A799" s="19"/>
      <c r="B799" s="19"/>
      <c r="C799" s="19"/>
      <c r="D799" s="19"/>
      <c r="E799" s="19"/>
      <c r="F799" s="19"/>
    </row>
    <row r="800" spans="1:6" ht="15" thickBot="1" x14ac:dyDescent="0.35">
      <c r="A800" s="27" t="s">
        <v>41</v>
      </c>
      <c r="B800" s="27" t="s">
        <v>42</v>
      </c>
      <c r="C800" s="27" t="s">
        <v>43</v>
      </c>
      <c r="D800" s="27" t="s">
        <v>44</v>
      </c>
      <c r="E800" s="27" t="s">
        <v>45</v>
      </c>
      <c r="F800" s="27" t="s">
        <v>46</v>
      </c>
    </row>
    <row r="801" spans="1:6" x14ac:dyDescent="0.3">
      <c r="A801" s="28" t="s">
        <v>292</v>
      </c>
      <c r="B801" s="29" t="str">
        <f ca="1">IFERROR(INDEX(UNSPSCDes,MATCH(INDIRECT(ADDRESS(ROW(),COLUMN()-1,4)),UNSPSCCode,0)),IF(INDIRECT(ADDRESS(ROW(),COLUMN()-1,4))="27111601","Mazas de hierro",""))</f>
        <v>Mazas de hierro</v>
      </c>
      <c r="C801" s="30" t="str">
        <f>IFERROR(VLOOKUP("UD",'[1]Informacion '!P:Q,2,FALSE),"")</f>
        <v>Unidad</v>
      </c>
      <c r="D801" s="28">
        <v>20</v>
      </c>
      <c r="E801" s="31">
        <v>180</v>
      </c>
      <c r="F801" s="32">
        <f t="shared" ref="F801:F843" ca="1" si="11">INDIRECT(ADDRESS(ROW(),COLUMN()-2,4))*INDIRECT(ADDRESS(ROW(),COLUMN()-1,4))</f>
        <v>3600</v>
      </c>
    </row>
    <row r="802" spans="1:6" x14ac:dyDescent="0.3">
      <c r="A802" s="28" t="s">
        <v>293</v>
      </c>
      <c r="B802" s="29" t="str">
        <f ca="1">IFERROR(INDEX(UNSPSCDes,MATCH(INDIRECT(ADDRESS(ROW(),COLUMN()-1,4)),UNSPSCCode,0)),IF(INDIRECT(ADDRESS(ROW(),COLUMN()-1,4))="31161807","Arandelas planas",""))</f>
        <v>Arandelas planas</v>
      </c>
      <c r="C802" s="30" t="str">
        <f>IFERROR(VLOOKUP("LB",'[1]Informacion '!P:Q,2,FALSE),"")</f>
        <v>Libra </v>
      </c>
      <c r="D802" s="28">
        <v>10</v>
      </c>
      <c r="E802" s="31">
        <v>80</v>
      </c>
      <c r="F802" s="32">
        <f t="shared" ca="1" si="11"/>
        <v>800</v>
      </c>
    </row>
    <row r="803" spans="1:6" x14ac:dyDescent="0.3">
      <c r="A803" s="28" t="s">
        <v>294</v>
      </c>
      <c r="B803" s="29" t="str">
        <f ca="1">IFERROR(INDEX(UNSPSCDes,MATCH(INDIRECT(ADDRESS(ROW(),COLUMN()-1,4)),UNSPSCCode,0)),IF(INDIRECT(ADDRESS(ROW(),COLUMN()-1,4))="31161503","Clavo-tornillo",""))</f>
        <v>Clavo-tornillo</v>
      </c>
      <c r="C803" s="30" t="str">
        <f>IFERROR(VLOOKUP("LB",'[1]Informacion '!P:Q,2,FALSE),"")</f>
        <v>Libra </v>
      </c>
      <c r="D803" s="28">
        <v>20</v>
      </c>
      <c r="E803" s="31">
        <v>70</v>
      </c>
      <c r="F803" s="32">
        <f t="shared" ca="1" si="11"/>
        <v>1400</v>
      </c>
    </row>
    <row r="804" spans="1:6" x14ac:dyDescent="0.3">
      <c r="A804" s="28" t="s">
        <v>295</v>
      </c>
      <c r="B804" s="29" t="str">
        <f ca="1">IFERROR(INDEX(UNSPSCDes,MATCH(INDIRECT(ADDRESS(ROW(),COLUMN()-1,4)),UNSPSCCode,0)),IF(INDIRECT(ADDRESS(ROW(),COLUMN()-1,4))="27111707","Llaves ajustables",""))</f>
        <v>Llaves ajustables</v>
      </c>
      <c r="C804" s="30" t="str">
        <f>IFERROR(VLOOKUP("UD",'[1]Informacion '!P:Q,2,FALSE),"")</f>
        <v>Unidad</v>
      </c>
      <c r="D804" s="28">
        <v>2</v>
      </c>
      <c r="E804" s="31">
        <v>1000</v>
      </c>
      <c r="F804" s="32">
        <f t="shared" ca="1" si="11"/>
        <v>2000</v>
      </c>
    </row>
    <row r="805" spans="1:6" x14ac:dyDescent="0.3">
      <c r="A805" s="28" t="s">
        <v>296</v>
      </c>
      <c r="B805" s="29" t="str">
        <f ca="1">IFERROR(INDEX(UNSPSCDes,MATCH(INDIRECT(ADDRESS(ROW(),COLUMN()-1,4)),UNSPSCCode,0)),IF(INDIRECT(ADDRESS(ROW(),COLUMN()-1,4))="27111706","Llave de tuercas de boca abierta",""))</f>
        <v>Llave de tuercas de boca abierta</v>
      </c>
      <c r="C805" s="30" t="str">
        <f>IFERROR(VLOOKUP("UD",'[1]Informacion '!P:Q,2,FALSE),"")</f>
        <v>Unidad</v>
      </c>
      <c r="D805" s="28">
        <v>2</v>
      </c>
      <c r="E805" s="31">
        <v>1200</v>
      </c>
      <c r="F805" s="32">
        <f t="shared" ca="1" si="11"/>
        <v>2400</v>
      </c>
    </row>
    <row r="806" spans="1:6" x14ac:dyDescent="0.3">
      <c r="A806" s="28" t="s">
        <v>297</v>
      </c>
      <c r="B806" s="29" t="str">
        <f ca="1">IFERROR(INDEX(UNSPSCDes,MATCH(INDIRECT(ADDRESS(ROW(),COLUMN()-1,4)),UNSPSCCode,0)),IF(INDIRECT(ADDRESS(ROW(),COLUMN()-1,4))="27111710","Llaves allen",""))</f>
        <v>Llaves allen</v>
      </c>
      <c r="C806" s="30" t="str">
        <f>IFERROR(VLOOKUP("PAQ",'[1]Informacion '!P:Q,2,FALSE),"")</f>
        <v>Paquete</v>
      </c>
      <c r="D806" s="28">
        <v>3</v>
      </c>
      <c r="E806" s="31">
        <v>1200</v>
      </c>
      <c r="F806" s="32">
        <f t="shared" ca="1" si="11"/>
        <v>3600</v>
      </c>
    </row>
    <row r="807" spans="1:6" x14ac:dyDescent="0.3">
      <c r="A807" s="28" t="s">
        <v>298</v>
      </c>
      <c r="B807" s="29" t="str">
        <f ca="1">IFERROR(INDEX(UNSPSCDes,MATCH(INDIRECT(ADDRESS(ROW(),COLUMN()-1,4)),UNSPSCCode,0)),IF(INDIRECT(ADDRESS(ROW(),COLUMN()-1,4))="27112103","Pinza de mano",""))</f>
        <v>Pinza de mano</v>
      </c>
      <c r="C807" s="30" t="str">
        <f>IFERROR(VLOOKUP("PAQ",'[1]Informacion '!P:Q,2,FALSE),"")</f>
        <v>Paquete</v>
      </c>
      <c r="D807" s="28">
        <v>1</v>
      </c>
      <c r="E807" s="31">
        <v>1000</v>
      </c>
      <c r="F807" s="32">
        <f t="shared" ca="1" si="11"/>
        <v>1000</v>
      </c>
    </row>
    <row r="808" spans="1:6" x14ac:dyDescent="0.3">
      <c r="A808" s="28" t="s">
        <v>299</v>
      </c>
      <c r="B808" s="29" t="str">
        <f ca="1">IFERROR(INDEX(UNSPSCDes,MATCH(INDIRECT(ADDRESS(ROW(),COLUMN()-1,4)),UNSPSCCode,0)),IF(INDIRECT(ADDRESS(ROW(),COLUMN()-1,4))="27112114","Pinzas de corte diagonal",""))</f>
        <v>Pinzas de corte diagonal</v>
      </c>
      <c r="C808" s="30" t="str">
        <f>IFERROR(VLOOKUP("UD",'[1]Informacion '!P:Q,2,FALSE),"")</f>
        <v>Unidad</v>
      </c>
      <c r="D808" s="28">
        <v>2</v>
      </c>
      <c r="E808" s="31">
        <v>850</v>
      </c>
      <c r="F808" s="32">
        <f t="shared" ca="1" si="11"/>
        <v>1700</v>
      </c>
    </row>
    <row r="809" spans="1:6" x14ac:dyDescent="0.3">
      <c r="A809" s="28" t="s">
        <v>300</v>
      </c>
      <c r="B809" s="29" t="str">
        <f ca="1">IFERROR(INDEX(UNSPSCDes,MATCH(INDIRECT(ADDRESS(ROW(),COLUMN()-1,4)),UNSPSCCode,0)),IF(INDIRECT(ADDRESS(ROW(),COLUMN()-1,4))="27112108","Alicates de punta de aguja",""))</f>
        <v>Alicates de punta de aguja</v>
      </c>
      <c r="C809" s="30" t="str">
        <f>IFERROR(VLOOKUP("UD",'[1]Informacion '!P:Q,2,FALSE),"")</f>
        <v>Unidad</v>
      </c>
      <c r="D809" s="28">
        <v>2</v>
      </c>
      <c r="E809" s="31">
        <v>350</v>
      </c>
      <c r="F809" s="32">
        <f t="shared" ca="1" si="11"/>
        <v>700</v>
      </c>
    </row>
    <row r="810" spans="1:6" x14ac:dyDescent="0.3">
      <c r="A810" s="28" t="s">
        <v>301</v>
      </c>
      <c r="B810" s="29" t="str">
        <f ca="1">IFERROR(INDEX(UNSPSCDes,MATCH(INDIRECT(ADDRESS(ROW(),COLUMN()-1,4)),UNSPSCCode,0)),IF(INDIRECT(ADDRESS(ROW(),COLUMN()-1,4))="27111701","Destornilladores",""))</f>
        <v>Destornilladores</v>
      </c>
      <c r="C810" s="30" t="str">
        <f>IFERROR(VLOOKUP("PAQ",'[1]Informacion '!P:Q,2,FALSE),"")</f>
        <v>Paquete</v>
      </c>
      <c r="D810" s="28">
        <v>1</v>
      </c>
      <c r="E810" s="31">
        <v>1500</v>
      </c>
      <c r="F810" s="32">
        <f t="shared" ca="1" si="11"/>
        <v>1500</v>
      </c>
    </row>
    <row r="811" spans="1:6" x14ac:dyDescent="0.3">
      <c r="A811" s="28" t="s">
        <v>302</v>
      </c>
      <c r="B811" s="29" t="str">
        <f ca="1">IFERROR(INDEX(UNSPSCDes,MATCH(INDIRECT(ADDRESS(ROW(),COLUMN()-1,4)),UNSPSCCode,0)),IF(INDIRECT(ADDRESS(ROW(),COLUMN()-1,4))="31211906","Rodillos de pintar",""))</f>
        <v>Rodillos de pintar</v>
      </c>
      <c r="C811" s="30" t="str">
        <f>IFERROR(VLOOKUP("UD",'[1]Informacion '!P:Q,2,FALSE),"")</f>
        <v>Unidad</v>
      </c>
      <c r="D811" s="28">
        <v>2</v>
      </c>
      <c r="E811" s="31">
        <v>150</v>
      </c>
      <c r="F811" s="32">
        <f t="shared" ca="1" si="11"/>
        <v>300</v>
      </c>
    </row>
    <row r="812" spans="1:6" x14ac:dyDescent="0.3">
      <c r="A812" s="28" t="s">
        <v>303</v>
      </c>
      <c r="B812" s="29" t="str">
        <f ca="1">IFERROR(INDEX(UNSPSCDes,MATCH(INDIRECT(ADDRESS(ROW(),COLUMN()-1,4)),UNSPSCCode,0)),IF(INDIRECT(ADDRESS(ROW(),COLUMN()-1,4))="27111801","Cintas métricas",""))</f>
        <v>Cintas métricas</v>
      </c>
      <c r="C812" s="30" t="str">
        <f>IFERROR(VLOOKUP("UD",'[1]Informacion '!P:Q,2,FALSE),"")</f>
        <v>Unidad</v>
      </c>
      <c r="D812" s="28">
        <v>2</v>
      </c>
      <c r="E812" s="31">
        <v>650</v>
      </c>
      <c r="F812" s="32">
        <f t="shared" ca="1" si="11"/>
        <v>1300</v>
      </c>
    </row>
    <row r="813" spans="1:6" x14ac:dyDescent="0.3">
      <c r="A813" s="28" t="s">
        <v>304</v>
      </c>
      <c r="B813" s="29" t="str">
        <f ca="1">IFERROR(INDEX(UNSPSCDes,MATCH(INDIRECT(ADDRESS(ROW(),COLUMN()-1,4)),UNSPSCCode,0)),IF(INDIRECT(ADDRESS(ROW(),COLUMN()-1,4))="31201526","Cinta magnética",""))</f>
        <v>Cinta magnética</v>
      </c>
      <c r="C813" s="30" t="str">
        <f>IFERROR(VLOOKUP("UD",'[1]Informacion '!P:Q,2,FALSE),"")</f>
        <v>Unidad</v>
      </c>
      <c r="D813" s="28">
        <v>2</v>
      </c>
      <c r="E813" s="31">
        <v>65</v>
      </c>
      <c r="F813" s="32">
        <f t="shared" ca="1" si="11"/>
        <v>130</v>
      </c>
    </row>
    <row r="814" spans="1:6" x14ac:dyDescent="0.3">
      <c r="A814" s="28" t="s">
        <v>305</v>
      </c>
      <c r="B814" s="29" t="str">
        <f ca="1">IFERROR(INDEX(UNSPSCDes,MATCH(INDIRECT(ADDRESS(ROW(),COLUMN()-1,4)),UNSPSCCode,0)),IF(INDIRECT(ADDRESS(ROW(),COLUMN()-1,4))="31201502","Cinta aislante eléctrica",""))</f>
        <v>Cinta aislante eléctrica</v>
      </c>
      <c r="C814" s="30" t="str">
        <f>IFERROR(VLOOKUP("UD",'[1]Informacion '!P:Q,2,FALSE),"")</f>
        <v>Unidad</v>
      </c>
      <c r="D814" s="28">
        <v>6</v>
      </c>
      <c r="E814" s="31">
        <v>78</v>
      </c>
      <c r="F814" s="32">
        <f t="shared" ca="1" si="11"/>
        <v>468</v>
      </c>
    </row>
    <row r="815" spans="1:6" x14ac:dyDescent="0.3">
      <c r="A815" s="28" t="s">
        <v>236</v>
      </c>
      <c r="B815" s="29" t="str">
        <f ca="1">IFERROR(INDEX(UNSPSCDes,MATCH(INDIRECT(ADDRESS(ROW(),COLUMN()-1,4)),UNSPSCCode,0)),IF(INDIRECT(ADDRESS(ROW(),COLUMN()-1,4))="31201516","Cinta reflectiva",""))</f>
        <v>Cinta reflectiva</v>
      </c>
      <c r="C815" s="30" t="str">
        <f>IFERROR(VLOOKUP("UD",'[1]Informacion '!P:Q,2,FALSE),"")</f>
        <v>Unidad</v>
      </c>
      <c r="D815" s="28">
        <v>6</v>
      </c>
      <c r="E815" s="31">
        <v>312</v>
      </c>
      <c r="F815" s="32">
        <f t="shared" ca="1" si="11"/>
        <v>1872</v>
      </c>
    </row>
    <row r="816" spans="1:6" x14ac:dyDescent="0.3">
      <c r="A816" s="28" t="s">
        <v>306</v>
      </c>
      <c r="B816" s="29" t="str">
        <f ca="1">IFERROR(INDEX(UNSPSCDes,MATCH(INDIRECT(ADDRESS(ROW(),COLUMN()-1,4)),UNSPSCCode,0)),IF(INDIRECT(ADDRESS(ROW(),COLUMN()-1,4))="27111602","Martillos",""))</f>
        <v>Martillos</v>
      </c>
      <c r="C816" s="30" t="str">
        <f>IFERROR(VLOOKUP("UD",'[1]Informacion '!P:Q,2,FALSE),"")</f>
        <v>Unidad</v>
      </c>
      <c r="D816" s="28">
        <v>5</v>
      </c>
      <c r="E816" s="31">
        <v>230</v>
      </c>
      <c r="F816" s="32">
        <f t="shared" ca="1" si="11"/>
        <v>1150</v>
      </c>
    </row>
    <row r="817" spans="1:6" x14ac:dyDescent="0.3">
      <c r="A817" s="28" t="s">
        <v>307</v>
      </c>
      <c r="B817" s="29" t="str">
        <f ca="1">IFERROR(INDEX(UNSPSCDes,MATCH(INDIRECT(ADDRESS(ROW(),COLUMN()-1,4)),UNSPSCCode,0)),IF(INDIRECT(ADDRESS(ROW(),COLUMN()-1,4))="31162402","Cerraduras",""))</f>
        <v>Cerraduras</v>
      </c>
      <c r="C817" s="30" t="str">
        <f>IFERROR(VLOOKUP("UD",'[1]Informacion '!P:Q,2,FALSE),"")</f>
        <v>Unidad</v>
      </c>
      <c r="D817" s="28">
        <v>10</v>
      </c>
      <c r="E817" s="31">
        <v>800</v>
      </c>
      <c r="F817" s="32">
        <f t="shared" ca="1" si="11"/>
        <v>8000</v>
      </c>
    </row>
    <row r="818" spans="1:6" x14ac:dyDescent="0.3">
      <c r="A818" s="28" t="s">
        <v>308</v>
      </c>
      <c r="B818" s="29" t="str">
        <f ca="1">IFERROR(INDEX(UNSPSCDes,MATCH(INDIRECT(ADDRESS(ROW(),COLUMN()-1,4)),UNSPSCCode,0)),IF(INDIRECT(ADDRESS(ROW(),COLUMN()-1,4))="31162403","Goznes o bisagras",""))</f>
        <v>Goznes o bisagras</v>
      </c>
      <c r="C818" s="30" t="str">
        <f>IFERROR(VLOOKUP("UD",'[1]Informacion '!P:Q,2,FALSE),"")</f>
        <v>Unidad</v>
      </c>
      <c r="D818" s="28">
        <v>12</v>
      </c>
      <c r="E818" s="31">
        <v>100</v>
      </c>
      <c r="F818" s="32">
        <f t="shared" ca="1" si="11"/>
        <v>1200</v>
      </c>
    </row>
    <row r="819" spans="1:6" x14ac:dyDescent="0.3">
      <c r="A819" s="28" t="s">
        <v>309</v>
      </c>
      <c r="B819" s="29" t="str">
        <f ca="1">IFERROR(INDEX(UNSPSCDes,MATCH(INDIRECT(ADDRESS(ROW(),COLUMN()-1,4)),UNSPSCCode,0)),IF(INDIRECT(ADDRESS(ROW(),COLUMN()-1,4))="39121310","Cajas de uso general",""))</f>
        <v>Cajas de uso general</v>
      </c>
      <c r="C819" s="30" t="str">
        <f>IFERROR(VLOOKUP("UD",'[1]Informacion '!P:Q,2,FALSE),"")</f>
        <v>Unidad</v>
      </c>
      <c r="D819" s="28">
        <v>25</v>
      </c>
      <c r="E819" s="31">
        <v>900</v>
      </c>
      <c r="F819" s="32">
        <f t="shared" ca="1" si="11"/>
        <v>22500</v>
      </c>
    </row>
    <row r="820" spans="1:6" x14ac:dyDescent="0.3">
      <c r="A820" s="28" t="s">
        <v>310</v>
      </c>
      <c r="B820" s="29" t="str">
        <f ca="1">IFERROR(INDEX(UNSPSCDes,MATCH(INDIRECT(ADDRESS(ROW(),COLUMN()-1,4)),UNSPSCCode,0)),IF(INDIRECT(ADDRESS(ROW(),COLUMN()-1,4))="40142604","Codos de tubo",""))</f>
        <v>Codos de tubo</v>
      </c>
      <c r="C820" s="30" t="str">
        <f>IFERROR(VLOOKUP("UD",'[1]Informacion '!P:Q,2,FALSE),"")</f>
        <v>Unidad</v>
      </c>
      <c r="D820" s="28">
        <v>15</v>
      </c>
      <c r="E820" s="31">
        <v>50</v>
      </c>
      <c r="F820" s="32">
        <f t="shared" ca="1" si="11"/>
        <v>750</v>
      </c>
    </row>
    <row r="821" spans="1:6" x14ac:dyDescent="0.3">
      <c r="A821" s="28" t="s">
        <v>311</v>
      </c>
      <c r="B821" s="29" t="str">
        <f ca="1">IFERROR(INDEX(UNSPSCDes,MATCH(INDIRECT(ADDRESS(ROW(),COLUMN()-1,4)),UNSPSCCode,0)),IF(INDIRECT(ADDRESS(ROW(),COLUMN()-1,4))="23101502","Taladros",""))</f>
        <v>Taladros</v>
      </c>
      <c r="C821" s="30" t="str">
        <f>IFERROR(VLOOKUP("UD",'[1]Informacion '!P:Q,2,FALSE),"")</f>
        <v>Unidad</v>
      </c>
      <c r="D821" s="28">
        <v>1</v>
      </c>
      <c r="E821" s="31">
        <v>10000</v>
      </c>
      <c r="F821" s="32">
        <f t="shared" ca="1" si="11"/>
        <v>10000</v>
      </c>
    </row>
    <row r="822" spans="1:6" x14ac:dyDescent="0.3">
      <c r="A822" s="28" t="s">
        <v>312</v>
      </c>
      <c r="B822" s="29" t="str">
        <f ca="1">IFERROR(INDEX(UNSPSCDes,MATCH(INDIRECT(ADDRESS(ROW(),COLUMN()-1,4)),UNSPSCCode,0)),IF(INDIRECT(ADDRESS(ROW(),COLUMN()-1,4))="40141617","Válvulas esféricas de ángulo",""))</f>
        <v>Válvulas esféricas de ángulo</v>
      </c>
      <c r="C822" s="30" t="str">
        <f>IFERROR(VLOOKUP("UD",'[1]Informacion '!P:Q,2,FALSE),"")</f>
        <v>Unidad</v>
      </c>
      <c r="D822" s="28">
        <v>10</v>
      </c>
      <c r="E822" s="31">
        <v>200</v>
      </c>
      <c r="F822" s="32">
        <f t="shared" ca="1" si="11"/>
        <v>2000</v>
      </c>
    </row>
    <row r="823" spans="1:6" x14ac:dyDescent="0.3">
      <c r="A823" s="28" t="s">
        <v>313</v>
      </c>
      <c r="B823" s="29" t="str">
        <f ca="1">IFERROR(INDEX(UNSPSCDes,MATCH(INDIRECT(ADDRESS(ROW(),COLUMN()-1,4)),UNSPSCCode,0)),IF(INDIRECT(ADDRESS(ROW(),COLUMN()-1,4))="46181525","Ropa impermeable protectora o ropa para ambiente húmedo",""))</f>
        <v>Ropa impermeable protectora o ropa para ambiente húmedo</v>
      </c>
      <c r="C823" s="30" t="str">
        <f>IFERROR(VLOOKUP("UD",'[1]Informacion '!P:Q,2,FALSE),"")</f>
        <v>Unidad</v>
      </c>
      <c r="D823" s="28">
        <v>8</v>
      </c>
      <c r="E823" s="31">
        <v>1261</v>
      </c>
      <c r="F823" s="32">
        <f t="shared" ca="1" si="11"/>
        <v>10088</v>
      </c>
    </row>
    <row r="824" spans="1:6" x14ac:dyDescent="0.3">
      <c r="A824" s="28" t="s">
        <v>314</v>
      </c>
      <c r="B824" s="29" t="str">
        <f ca="1">IFERROR(INDEX(UNSPSCDes,MATCH(INDIRECT(ADDRESS(ROW(),COLUMN()-1,4)),UNSPSCCode,0)),IF(INDIRECT(ADDRESS(ROW(),COLUMN()-1,4))="31211909","Bandejas de pintura",""))</f>
        <v>Bandejas de pintura</v>
      </c>
      <c r="C824" s="30" t="str">
        <f>IFERROR(VLOOKUP("PAQ",'[1]Informacion '!P:Q,2,FALSE),"")</f>
        <v>Paquete</v>
      </c>
      <c r="D824" s="28">
        <v>3</v>
      </c>
      <c r="E824" s="31">
        <v>380</v>
      </c>
      <c r="F824" s="32">
        <f t="shared" ca="1" si="11"/>
        <v>1140</v>
      </c>
    </row>
    <row r="825" spans="1:6" x14ac:dyDescent="0.3">
      <c r="A825" s="28" t="s">
        <v>315</v>
      </c>
      <c r="B825" s="29" t="str">
        <f ca="1">IFERROR(INDEX(UNSPSCDes,MATCH(INDIRECT(ADDRESS(ROW(),COLUMN()-1,4)),UNSPSCCode,0)),IF(INDIRECT(ADDRESS(ROW(),COLUMN()-1,4))="31211904","Brochas",""))</f>
        <v>Brochas</v>
      </c>
      <c r="C825" s="30" t="str">
        <f>IFERROR(VLOOKUP("UD",'[1]Informacion '!P:Q,2,FALSE),"")</f>
        <v>Unidad</v>
      </c>
      <c r="D825" s="28">
        <v>3</v>
      </c>
      <c r="E825" s="31">
        <v>234</v>
      </c>
      <c r="F825" s="32">
        <f t="shared" ca="1" si="11"/>
        <v>702</v>
      </c>
    </row>
    <row r="826" spans="1:6" x14ac:dyDescent="0.3">
      <c r="A826" s="28" t="s">
        <v>316</v>
      </c>
      <c r="B826" s="29" t="str">
        <f ca="1">IFERROR(INDEX(UNSPSCDes,MATCH(INDIRECT(ADDRESS(ROW(),COLUMN()-1,4)),UNSPSCCode,0)),IF(INDIRECT(ADDRESS(ROW(),COLUMN()-1,4))="31201505","Cinta doble faz",""))</f>
        <v>Cinta doble faz</v>
      </c>
      <c r="C826" s="30" t="str">
        <f>IFERROR(VLOOKUP("UD",'[1]Informacion '!P:Q,2,FALSE),"")</f>
        <v>Unidad</v>
      </c>
      <c r="D826" s="28">
        <v>6</v>
      </c>
      <c r="E826" s="31">
        <v>211</v>
      </c>
      <c r="F826" s="32">
        <f t="shared" ca="1" si="11"/>
        <v>1266</v>
      </c>
    </row>
    <row r="827" spans="1:6" x14ac:dyDescent="0.3">
      <c r="A827" s="28" t="s">
        <v>317</v>
      </c>
      <c r="B827" s="29" t="str">
        <f ca="1">IFERROR(INDEX(UNSPSCDes,MATCH(INDIRECT(ADDRESS(ROW(),COLUMN()-1,4)),UNSPSCCode,0)),IF(INDIRECT(ADDRESS(ROW(),COLUMN()-1,4))="31201513","Cintas antideslizantes de seguridad",""))</f>
        <v>Cintas antideslizantes de seguridad</v>
      </c>
      <c r="C827" s="30" t="str">
        <f>IFERROR(VLOOKUP("UD",'[1]Informacion '!P:Q,2,FALSE),"")</f>
        <v>Unidad</v>
      </c>
      <c r="D827" s="28">
        <v>2</v>
      </c>
      <c r="E827" s="31">
        <v>46</v>
      </c>
      <c r="F827" s="32">
        <f t="shared" ca="1" si="11"/>
        <v>92</v>
      </c>
    </row>
    <row r="828" spans="1:6" x14ac:dyDescent="0.3">
      <c r="A828" s="28" t="s">
        <v>237</v>
      </c>
      <c r="B828" s="29" t="str">
        <f ca="1">IFERROR(INDEX(UNSPSCDes,MATCH(INDIRECT(ADDRESS(ROW(),COLUMN()-1,4)),UNSPSCCode,0)),IF(INDIRECT(ADDRESS(ROW(),COLUMN()-1,4))="31201517","Cinta para empaquetar",""))</f>
        <v>Cinta para empaquetar</v>
      </c>
      <c r="C828" s="30" t="str">
        <f>IFERROR(VLOOKUP("UD",'[1]Informacion '!P:Q,2,FALSE),"")</f>
        <v>Unidad</v>
      </c>
      <c r="D828" s="28">
        <v>10</v>
      </c>
      <c r="E828" s="31">
        <v>112</v>
      </c>
      <c r="F828" s="32">
        <f t="shared" ca="1" si="11"/>
        <v>1120</v>
      </c>
    </row>
    <row r="829" spans="1:6" x14ac:dyDescent="0.3">
      <c r="A829" s="28" t="s">
        <v>318</v>
      </c>
      <c r="B829" s="29" t="str">
        <f ca="1">IFERROR(INDEX(UNSPSCDes,MATCH(INDIRECT(ADDRESS(ROW(),COLUMN()-1,4)),UNSPSCCode,0)),IF(INDIRECT(ADDRESS(ROW(),COLUMN()-1,4))="31201519","Cinta para reparar tubería o manguera",""))</f>
        <v>Cinta para reparar tubería o manguera</v>
      </c>
      <c r="C829" s="30" t="str">
        <f>IFERROR(VLOOKUP("UD",'[1]Informacion '!P:Q,2,FALSE),"")</f>
        <v>Unidad</v>
      </c>
      <c r="D829" s="28">
        <v>8</v>
      </c>
      <c r="E829" s="31">
        <v>36</v>
      </c>
      <c r="F829" s="32">
        <f t="shared" ca="1" si="11"/>
        <v>288</v>
      </c>
    </row>
    <row r="830" spans="1:6" x14ac:dyDescent="0.3">
      <c r="A830" s="28" t="s">
        <v>315</v>
      </c>
      <c r="B830" s="29" t="str">
        <f ca="1">IFERROR(INDEX(UNSPSCDes,MATCH(INDIRECT(ADDRESS(ROW(),COLUMN()-1,4)),UNSPSCCode,0)),IF(INDIRECT(ADDRESS(ROW(),COLUMN()-1,4))="31211904","Brochas",""))</f>
        <v>Brochas</v>
      </c>
      <c r="C830" s="30" t="str">
        <f>IFERROR(VLOOKUP("UD",'[1]Informacion '!P:Q,2,FALSE),"")</f>
        <v>Unidad</v>
      </c>
      <c r="D830" s="28">
        <v>4</v>
      </c>
      <c r="E830" s="31">
        <v>103</v>
      </c>
      <c r="F830" s="32">
        <f t="shared" ca="1" si="11"/>
        <v>412</v>
      </c>
    </row>
    <row r="831" spans="1:6" x14ac:dyDescent="0.3">
      <c r="A831" s="28" t="s">
        <v>319</v>
      </c>
      <c r="B831" s="29" t="str">
        <f ca="1">IFERROR(INDEX(UNSPSCDes,MATCH(INDIRECT(ADDRESS(ROW(),COLUMN()-1,4)),UNSPSCCode,0)),IF(INDIRECT(ADDRESS(ROW(),COLUMN()-1,4))="31201617","Cementos disolventes",""))</f>
        <v>Cementos disolventes</v>
      </c>
      <c r="C831" s="30" t="str">
        <f>IFERROR(VLOOKUP("UD",'[1]Informacion '!P:Q,2,FALSE),"")</f>
        <v>Unidad</v>
      </c>
      <c r="D831" s="28">
        <v>1</v>
      </c>
      <c r="E831" s="31">
        <v>595</v>
      </c>
      <c r="F831" s="32">
        <f t="shared" ca="1" si="11"/>
        <v>595</v>
      </c>
    </row>
    <row r="832" spans="1:6" x14ac:dyDescent="0.3">
      <c r="A832" s="28" t="s">
        <v>320</v>
      </c>
      <c r="B832" s="29" t="str">
        <f ca="1">IFERROR(INDEX(UNSPSCDes,MATCH(INDIRECT(ADDRESS(ROW(),COLUMN()-1,4)),UNSPSCCode,0)),IF(INDIRECT(ADDRESS(ROW(),COLUMN()-1,4))="46171508","Candados de números",""))</f>
        <v>Candados de números</v>
      </c>
      <c r="C832" s="30" t="str">
        <f>IFERROR(VLOOKUP("UD",'[1]Informacion '!P:Q,2,FALSE),"")</f>
        <v>Unidad</v>
      </c>
      <c r="D832" s="28">
        <v>20</v>
      </c>
      <c r="E832" s="31">
        <v>854</v>
      </c>
      <c r="F832" s="32">
        <f t="shared" ca="1" si="11"/>
        <v>17080</v>
      </c>
    </row>
    <row r="833" spans="1:6" x14ac:dyDescent="0.3">
      <c r="A833" s="28" t="s">
        <v>307</v>
      </c>
      <c r="B833" s="29" t="str">
        <f ca="1">IFERROR(INDEX(UNSPSCDes,MATCH(INDIRECT(ADDRESS(ROW(),COLUMN()-1,4)),UNSPSCCode,0)),IF(INDIRECT(ADDRESS(ROW(),COLUMN()-1,4))="31162402","Cerraduras",""))</f>
        <v>Cerraduras</v>
      </c>
      <c r="C833" s="30" t="str">
        <f>IFERROR(VLOOKUP("UD",'[1]Informacion '!P:Q,2,FALSE),"")</f>
        <v>Unidad</v>
      </c>
      <c r="D833" s="28">
        <v>20</v>
      </c>
      <c r="E833" s="31">
        <v>1900</v>
      </c>
      <c r="F833" s="32">
        <f t="shared" ca="1" si="11"/>
        <v>38000</v>
      </c>
    </row>
    <row r="834" spans="1:6" x14ac:dyDescent="0.3">
      <c r="A834" s="28" t="s">
        <v>321</v>
      </c>
      <c r="B834" s="29" t="str">
        <f ca="1">IFERROR(INDEX(UNSPSCDes,MATCH(INDIRECT(ADDRESS(ROW(),COLUMN()-1,4)),UNSPSCCode,0)),IF(INDIRECT(ADDRESS(ROW(),COLUMN()-1,4))="31162414","Abrazadera",""))</f>
        <v>Abrazadera</v>
      </c>
      <c r="C834" s="30" t="str">
        <f>IFERROR(VLOOKUP("UD",'[1]Informacion '!P:Q,2,FALSE),"")</f>
        <v>Unidad</v>
      </c>
      <c r="D834" s="28">
        <v>1000</v>
      </c>
      <c r="E834" s="31">
        <v>16.5</v>
      </c>
      <c r="F834" s="32">
        <f t="shared" ca="1" si="11"/>
        <v>16500</v>
      </c>
    </row>
    <row r="835" spans="1:6" x14ac:dyDescent="0.3">
      <c r="A835" s="28" t="s">
        <v>322</v>
      </c>
      <c r="B835" s="29" t="str">
        <f ca="1">IFERROR(INDEX(UNSPSCDes,MATCH(INDIRECT(ADDRESS(ROW(),COLUMN()-1,4)),UNSPSCCode,0)),IF(INDIRECT(ADDRESS(ROW(),COLUMN()-1,4))="40141702","Grifos",""))</f>
        <v>Grifos</v>
      </c>
      <c r="C835" s="30" t="str">
        <f>IFERROR(VLOOKUP("UD",'[1]Informacion '!P:Q,2,FALSE),"")</f>
        <v>Unidad</v>
      </c>
      <c r="D835" s="28">
        <v>8</v>
      </c>
      <c r="E835" s="31">
        <v>1200</v>
      </c>
      <c r="F835" s="32">
        <f t="shared" ca="1" si="11"/>
        <v>9600</v>
      </c>
    </row>
    <row r="836" spans="1:6" x14ac:dyDescent="0.3">
      <c r="A836" s="28" t="s">
        <v>323</v>
      </c>
      <c r="B836" s="29" t="str">
        <f ca="1">IFERROR(INDEX(UNSPSCDes,MATCH(INDIRECT(ADDRESS(ROW(),COLUMN()-1,4)),UNSPSCCode,0)),IF(INDIRECT(ADDRESS(ROW(),COLUMN()-1,4))="30171501","Puertas de cristal",""))</f>
        <v>Puertas de cristal</v>
      </c>
      <c r="C836" s="30" t="str">
        <f>IFERROR(VLOOKUP("UD",'[1]Informacion '!P:Q,2,FALSE),"")</f>
        <v>Unidad</v>
      </c>
      <c r="D836" s="28">
        <v>6</v>
      </c>
      <c r="E836" s="31">
        <v>8500</v>
      </c>
      <c r="F836" s="32">
        <f t="shared" ca="1" si="11"/>
        <v>51000</v>
      </c>
    </row>
    <row r="837" spans="1:6" x14ac:dyDescent="0.3">
      <c r="A837" s="28" t="s">
        <v>324</v>
      </c>
      <c r="B837" s="29" t="str">
        <f ca="1">IFERROR(INDEX(UNSPSCDes,MATCH(INDIRECT(ADDRESS(ROW(),COLUMN()-1,4)),UNSPSCCode,0)),IF(INDIRECT(ADDRESS(ROW(),COLUMN()-1,4))="30171505","Puertas de metal",""))</f>
        <v>Puertas de metal</v>
      </c>
      <c r="C837" s="30" t="str">
        <f>IFERROR(VLOOKUP("UD",'[1]Informacion '!P:Q,2,FALSE),"")</f>
        <v>Unidad</v>
      </c>
      <c r="D837" s="28">
        <v>4</v>
      </c>
      <c r="E837" s="31">
        <v>7543</v>
      </c>
      <c r="F837" s="32">
        <f t="shared" ca="1" si="11"/>
        <v>30172</v>
      </c>
    </row>
    <row r="838" spans="1:6" x14ac:dyDescent="0.3">
      <c r="A838" s="28" t="s">
        <v>325</v>
      </c>
      <c r="B838" s="29" t="str">
        <f ca="1">IFERROR(INDEX(UNSPSCDes,MATCH(INDIRECT(ADDRESS(ROW(),COLUMN()-1,4)),UNSPSCCode,0)),IF(INDIRECT(ADDRESS(ROW(),COLUMN()-1,4))="30161509","Tabla de yeso",""))</f>
        <v>Tabla de yeso</v>
      </c>
      <c r="C838" s="30" t="str">
        <f>IFERROR(VLOOKUP("UD",'[1]Informacion '!P:Q,2,FALSE),"")</f>
        <v>Unidad</v>
      </c>
      <c r="D838" s="28">
        <v>10</v>
      </c>
      <c r="E838" s="31">
        <v>1000</v>
      </c>
      <c r="F838" s="32">
        <f t="shared" ca="1" si="11"/>
        <v>10000</v>
      </c>
    </row>
    <row r="839" spans="1:6" x14ac:dyDescent="0.3">
      <c r="A839" s="28" t="s">
        <v>326</v>
      </c>
      <c r="B839" s="29" t="str">
        <f ca="1">IFERROR(INDEX(UNSPSCDes,MATCH(INDIRECT(ADDRESS(ROW(),COLUMN()-1,4)),UNSPSCCode,0)),IF(INDIRECT(ADDRESS(ROW(),COLUMN()-1,4))="30161602","Paneles para techos",""))</f>
        <v>Paneles para techos</v>
      </c>
      <c r="C839" s="30" t="str">
        <f>IFERROR(VLOOKUP("UD",'[1]Informacion '!P:Q,2,FALSE),"")</f>
        <v>Unidad</v>
      </c>
      <c r="D839" s="28">
        <v>30</v>
      </c>
      <c r="E839" s="31">
        <v>650</v>
      </c>
      <c r="F839" s="32">
        <f t="shared" ca="1" si="11"/>
        <v>19500</v>
      </c>
    </row>
    <row r="840" spans="1:6" x14ac:dyDescent="0.3">
      <c r="A840" s="28" t="s">
        <v>327</v>
      </c>
      <c r="B840" s="29" t="str">
        <f ca="1">IFERROR(INDEX(UNSPSCDes,MATCH(INDIRECT(ADDRESS(ROW(),COLUMN()-1,4)),UNSPSCCode,0)),IF(INDIRECT(ADDRESS(ROW(),COLUMN()-1,4))="30181512","Asientos de inodoro",""))</f>
        <v>Asientos de inodoro</v>
      </c>
      <c r="C840" s="30" t="str">
        <f>IFERROR(VLOOKUP("UD",'[1]Informacion '!P:Q,2,FALSE),"")</f>
        <v>Unidad</v>
      </c>
      <c r="D840" s="28">
        <v>6</v>
      </c>
      <c r="E840" s="31">
        <v>991</v>
      </c>
      <c r="F840" s="32">
        <f t="shared" ca="1" si="11"/>
        <v>5946</v>
      </c>
    </row>
    <row r="841" spans="1:6" x14ac:dyDescent="0.3">
      <c r="A841" s="28" t="s">
        <v>328</v>
      </c>
      <c r="B841" s="29" t="str">
        <f ca="1">IFERROR(INDEX(UNSPSCDes,MATCH(INDIRECT(ADDRESS(ROW(),COLUMN()-1,4)),UNSPSCCode,0)),IF(INDIRECT(ADDRESS(ROW(),COLUMN()-1,4))="27111708","Llaves para tubos",""))</f>
        <v>Llaves para tubos</v>
      </c>
      <c r="C841" s="30" t="str">
        <f>IFERROR(VLOOKUP("UD",'[1]Informacion '!P:Q,2,FALSE),"")</f>
        <v>Unidad</v>
      </c>
      <c r="D841" s="28">
        <v>2</v>
      </c>
      <c r="E841" s="31">
        <v>2000</v>
      </c>
      <c r="F841" s="32">
        <f t="shared" ca="1" si="11"/>
        <v>4000</v>
      </c>
    </row>
    <row r="842" spans="1:6" x14ac:dyDescent="0.3">
      <c r="A842" s="28" t="s">
        <v>329</v>
      </c>
      <c r="B842" s="29" t="str">
        <f ca="1">IFERROR(INDEX(UNSPSCDes,MATCH(INDIRECT(ADDRESS(ROW(),COLUMN()-1,4)),UNSPSCCode,0)),IF(INDIRECT(ADDRESS(ROW(),COLUMN()-1,4))="23151820","Manómetro",""))</f>
        <v>Manómetro</v>
      </c>
      <c r="C842" s="30" t="str">
        <f>IFERROR(VLOOKUP("UD",'[1]Informacion '!P:Q,2,FALSE),"")</f>
        <v>Unidad</v>
      </c>
      <c r="D842" s="28">
        <v>2</v>
      </c>
      <c r="E842" s="31">
        <v>8200</v>
      </c>
      <c r="F842" s="32">
        <f t="shared" ca="1" si="11"/>
        <v>16400</v>
      </c>
    </row>
    <row r="843" spans="1:6" x14ac:dyDescent="0.3">
      <c r="A843" s="28" t="s">
        <v>330</v>
      </c>
      <c r="B843" s="29" t="str">
        <f ca="1">IFERROR(INDEX(UNSPSCDes,MATCH(INDIRECT(ADDRESS(ROW(),COLUMN()-1,4)),UNSPSCCode,0)),IF(INDIRECT(ADDRESS(ROW(),COLUMN()-1,4))="30191501","Escaleras",""))</f>
        <v>Escaleras</v>
      </c>
      <c r="C843" s="30" t="str">
        <f>IFERROR(VLOOKUP("UD",'[1]Informacion '!P:Q,2,FALSE),"")</f>
        <v>Unidad</v>
      </c>
      <c r="D843" s="28">
        <v>2</v>
      </c>
      <c r="E843" s="31">
        <v>6700</v>
      </c>
      <c r="F843" s="32">
        <f t="shared" ca="1" si="11"/>
        <v>13400</v>
      </c>
    </row>
    <row r="844" spans="1:6" x14ac:dyDescent="0.3">
      <c r="A844" s="19"/>
      <c r="B844" s="19"/>
      <c r="C844" s="19"/>
      <c r="D844" s="19"/>
      <c r="E844" s="33" t="s">
        <v>48</v>
      </c>
      <c r="F844" s="34">
        <f ca="1">SUM(Table50[MONTO TOTAL ESTIMADO])</f>
        <v>315671</v>
      </c>
    </row>
    <row r="845" spans="1:6" ht="15" thickBot="1" x14ac:dyDescent="0.35">
      <c r="A845" s="19"/>
      <c r="B845" s="19"/>
      <c r="C845" s="19"/>
      <c r="D845" s="19"/>
      <c r="E845" s="19"/>
      <c r="F845" s="19"/>
    </row>
    <row r="846" spans="1:6" ht="21" thickBot="1" x14ac:dyDescent="0.35">
      <c r="A846" s="20" t="s">
        <v>19</v>
      </c>
      <c r="B846" s="20" t="s">
        <v>20</v>
      </c>
      <c r="C846" s="20" t="s">
        <v>21</v>
      </c>
      <c r="D846" s="20" t="s">
        <v>22</v>
      </c>
      <c r="E846" s="20" t="s">
        <v>23</v>
      </c>
      <c r="F846" s="20" t="s">
        <v>24</v>
      </c>
    </row>
    <row r="847" spans="1:6" ht="15" thickBot="1" x14ac:dyDescent="0.35">
      <c r="A847" s="21" t="s">
        <v>291</v>
      </c>
      <c r="B847" s="21" t="s">
        <v>291</v>
      </c>
      <c r="C847" s="21" t="s">
        <v>60</v>
      </c>
      <c r="D847" s="21" t="s">
        <v>61</v>
      </c>
      <c r="E847" s="21" t="s">
        <v>54</v>
      </c>
      <c r="F847" s="21" t="s">
        <v>18</v>
      </c>
    </row>
    <row r="848" spans="1:6" ht="15" thickBot="1" x14ac:dyDescent="0.35">
      <c r="A848" s="41" t="s">
        <v>30</v>
      </c>
      <c r="B848" s="22" t="s">
        <v>31</v>
      </c>
      <c r="C848" s="23">
        <v>45184</v>
      </c>
      <c r="D848" s="41" t="s">
        <v>32</v>
      </c>
      <c r="E848" s="24" t="s">
        <v>33</v>
      </c>
      <c r="F848" s="25" t="s">
        <v>34</v>
      </c>
    </row>
    <row r="849" spans="1:6" ht="15" thickBot="1" x14ac:dyDescent="0.35">
      <c r="A849" s="42"/>
      <c r="B849" s="22" t="s">
        <v>35</v>
      </c>
      <c r="C849" s="26">
        <f>IF(C848="","",IF(AND(MONTH(C848)&gt;=1,MONTH(C848)&lt;=3),1,IF(AND(MONTH(C848)&gt;=4,MONTH(C848)&lt;=6),2,IF(AND(MONTH(C848)&gt;=7,MONTH(C848)&lt;=9),3,4))))</f>
        <v>3</v>
      </c>
      <c r="D849" s="42"/>
      <c r="E849" s="24" t="s">
        <v>36</v>
      </c>
      <c r="F849" s="25" t="s">
        <v>37</v>
      </c>
    </row>
    <row r="850" spans="1:6" ht="15" thickBot="1" x14ac:dyDescent="0.35">
      <c r="A850" s="42"/>
      <c r="B850" s="22" t="s">
        <v>38</v>
      </c>
      <c r="C850" s="23">
        <v>45214</v>
      </c>
      <c r="D850" s="42"/>
      <c r="E850" s="24" t="s">
        <v>39</v>
      </c>
      <c r="F850" s="25" t="s">
        <v>37</v>
      </c>
    </row>
    <row r="851" spans="1:6" ht="15" thickBot="1" x14ac:dyDescent="0.35">
      <c r="A851" s="42"/>
      <c r="B851" s="22" t="s">
        <v>35</v>
      </c>
      <c r="C851" s="26">
        <f>IF(C850="","",IF(AND(MONTH(C850)&gt;=1,MONTH(C850)&lt;=3),1,IF(AND(MONTH(C850)&gt;=4,MONTH(C850)&lt;=6),2,IF(AND(MONTH(C850)&gt;=7,MONTH(C850)&lt;=9),3,4))))</f>
        <v>4</v>
      </c>
      <c r="D851" s="42"/>
      <c r="E851" s="24" t="s">
        <v>40</v>
      </c>
      <c r="F851" s="25"/>
    </row>
    <row r="852" spans="1:6" ht="15" thickBot="1" x14ac:dyDescent="0.35">
      <c r="A852" s="19"/>
      <c r="B852" s="19"/>
      <c r="C852" s="19"/>
      <c r="D852" s="19"/>
      <c r="E852" s="19"/>
      <c r="F852" s="19"/>
    </row>
    <row r="853" spans="1:6" ht="15" thickBot="1" x14ac:dyDescent="0.35">
      <c r="A853" s="27" t="s">
        <v>41</v>
      </c>
      <c r="B853" s="27" t="s">
        <v>42</v>
      </c>
      <c r="C853" s="27" t="s">
        <v>43</v>
      </c>
      <c r="D853" s="27" t="s">
        <v>44</v>
      </c>
      <c r="E853" s="27" t="s">
        <v>45</v>
      </c>
      <c r="F853" s="27" t="s">
        <v>46</v>
      </c>
    </row>
    <row r="854" spans="1:6" x14ac:dyDescent="0.3">
      <c r="A854" s="28" t="s">
        <v>331</v>
      </c>
      <c r="B854" s="29" t="str">
        <f ca="1">IFERROR(INDEX(UNSPSCDes,MATCH(INDIRECT(ADDRESS(ROW(),COLUMN()-1,4)),UNSPSCCode,0)),IF(INDIRECT(ADDRESS(ROW(),COLUMN()-1,4))="30102403","Varillas de hierro",""))</f>
        <v>Varillas de hierro</v>
      </c>
      <c r="C854" s="30" t="str">
        <f>IFERROR(VLOOKUP("Q",'[1]Informacion '!P:Q,2,FALSE),"")</f>
        <v>Quintal</v>
      </c>
      <c r="D854" s="28">
        <v>120</v>
      </c>
      <c r="E854" s="31">
        <v>8000</v>
      </c>
      <c r="F854" s="32">
        <f ca="1">INDIRECT(ADDRESS(ROW(),COLUMN()-2,4))*INDIRECT(ADDRESS(ROW(),COLUMN()-1,4))</f>
        <v>960000</v>
      </c>
    </row>
    <row r="855" spans="1:6" x14ac:dyDescent="0.3">
      <c r="A855" s="19"/>
      <c r="B855" s="19"/>
      <c r="C855" s="19"/>
      <c r="D855" s="19"/>
      <c r="E855" s="33" t="s">
        <v>48</v>
      </c>
      <c r="F855" s="34">
        <f ca="1">SUM(Table51[MONTO TOTAL ESTIMADO])</f>
        <v>960000</v>
      </c>
    </row>
    <row r="856" spans="1:6" ht="15" thickBot="1" x14ac:dyDescent="0.35">
      <c r="A856" s="19"/>
      <c r="B856" s="19"/>
      <c r="C856" s="19"/>
      <c r="D856" s="19"/>
      <c r="E856" s="19"/>
      <c r="F856" s="19"/>
    </row>
    <row r="857" spans="1:6" ht="21" thickBot="1" x14ac:dyDescent="0.35">
      <c r="A857" s="20" t="s">
        <v>19</v>
      </c>
      <c r="B857" s="20" t="s">
        <v>20</v>
      </c>
      <c r="C857" s="20" t="s">
        <v>21</v>
      </c>
      <c r="D857" s="20" t="s">
        <v>22</v>
      </c>
      <c r="E857" s="20" t="s">
        <v>23</v>
      </c>
      <c r="F857" s="20" t="s">
        <v>24</v>
      </c>
    </row>
    <row r="858" spans="1:6" ht="15" thickBot="1" x14ac:dyDescent="0.35">
      <c r="A858" s="21" t="s">
        <v>332</v>
      </c>
      <c r="B858" s="21" t="s">
        <v>333</v>
      </c>
      <c r="C858" s="21" t="s">
        <v>60</v>
      </c>
      <c r="D858" s="21" t="s">
        <v>61</v>
      </c>
      <c r="E858" s="21" t="s">
        <v>54</v>
      </c>
      <c r="F858" s="21" t="s">
        <v>18</v>
      </c>
    </row>
    <row r="859" spans="1:6" ht="15" thickBot="1" x14ac:dyDescent="0.35">
      <c r="A859" s="41" t="s">
        <v>30</v>
      </c>
      <c r="B859" s="22" t="s">
        <v>31</v>
      </c>
      <c r="C859" s="23">
        <v>45000</v>
      </c>
      <c r="D859" s="41" t="s">
        <v>32</v>
      </c>
      <c r="E859" s="24" t="s">
        <v>33</v>
      </c>
      <c r="F859" s="25" t="s">
        <v>34</v>
      </c>
    </row>
    <row r="860" spans="1:6" ht="15" thickBot="1" x14ac:dyDescent="0.35">
      <c r="A860" s="42"/>
      <c r="B860" s="22" t="s">
        <v>35</v>
      </c>
      <c r="C860" s="26">
        <f>IF(C859="","",IF(AND(MONTH(C859)&gt;=1,MONTH(C859)&lt;=3),1,IF(AND(MONTH(C859)&gt;=4,MONTH(C859)&lt;=6),2,IF(AND(MONTH(C859)&gt;=7,MONTH(C859)&lt;=9),3,4))))</f>
        <v>1</v>
      </c>
      <c r="D860" s="42"/>
      <c r="E860" s="24" t="s">
        <v>36</v>
      </c>
      <c r="F860" s="25" t="s">
        <v>37</v>
      </c>
    </row>
    <row r="861" spans="1:6" ht="15" thickBot="1" x14ac:dyDescent="0.35">
      <c r="A861" s="42"/>
      <c r="B861" s="22" t="s">
        <v>38</v>
      </c>
      <c r="C861" s="23">
        <v>45031</v>
      </c>
      <c r="D861" s="42"/>
      <c r="E861" s="24" t="s">
        <v>39</v>
      </c>
      <c r="F861" s="25" t="s">
        <v>37</v>
      </c>
    </row>
    <row r="862" spans="1:6" ht="15" thickBot="1" x14ac:dyDescent="0.35">
      <c r="A862" s="42"/>
      <c r="B862" s="22" t="s">
        <v>35</v>
      </c>
      <c r="C862" s="26">
        <f>IF(C861="","",IF(AND(MONTH(C861)&gt;=1,MONTH(C861)&lt;=3),1,IF(AND(MONTH(C861)&gt;=4,MONTH(C861)&lt;=6),2,IF(AND(MONTH(C861)&gt;=7,MONTH(C861)&lt;=9),3,4))))</f>
        <v>2</v>
      </c>
      <c r="D862" s="42"/>
      <c r="E862" s="24" t="s">
        <v>40</v>
      </c>
      <c r="F862" s="25"/>
    </row>
    <row r="863" spans="1:6" ht="15" thickBot="1" x14ac:dyDescent="0.35">
      <c r="A863" s="19"/>
      <c r="B863" s="19"/>
      <c r="C863" s="19"/>
      <c r="D863" s="19"/>
      <c r="E863" s="19"/>
      <c r="F863" s="19"/>
    </row>
    <row r="864" spans="1:6" ht="15" thickBot="1" x14ac:dyDescent="0.35">
      <c r="A864" s="27" t="s">
        <v>41</v>
      </c>
      <c r="B864" s="27" t="s">
        <v>42</v>
      </c>
      <c r="C864" s="27" t="s">
        <v>43</v>
      </c>
      <c r="D864" s="27" t="s">
        <v>44</v>
      </c>
      <c r="E864" s="27" t="s">
        <v>45</v>
      </c>
      <c r="F864" s="27" t="s">
        <v>46</v>
      </c>
    </row>
    <row r="865" spans="1:6" x14ac:dyDescent="0.3">
      <c r="A865" s="28" t="s">
        <v>334</v>
      </c>
      <c r="B865" s="29" t="str">
        <f ca="1">IFERROR(INDEX(UNSPSCDes,MATCH(INDIRECT(ADDRESS(ROW(),COLUMN()-1,4)),UNSPSCCode,0)),IF(INDIRECT(ADDRESS(ROW(),COLUMN()-1,4))="24101612","Gatos",""))</f>
        <v>Gatos</v>
      </c>
      <c r="C865" s="30" t="str">
        <f>IFERROR(VLOOKUP("UD",'[1]Informacion '!P:Q,2,FALSE),"")</f>
        <v>Unidad</v>
      </c>
      <c r="D865" s="28">
        <v>15</v>
      </c>
      <c r="E865" s="31">
        <v>1900</v>
      </c>
      <c r="F865" s="32">
        <f t="shared" ref="F865:F878" ca="1" si="12">INDIRECT(ADDRESS(ROW(),COLUMN()-2,4))*INDIRECT(ADDRESS(ROW(),COLUMN()-1,4))</f>
        <v>28500</v>
      </c>
    </row>
    <row r="866" spans="1:6" x14ac:dyDescent="0.3">
      <c r="A866" s="28" t="s">
        <v>335</v>
      </c>
      <c r="B866" s="29" t="str">
        <f ca="1">IFERROR(INDEX(UNSPSCDes,MATCH(INDIRECT(ADDRESS(ROW(),COLUMN()-1,4)),UNSPSCCode,0)),IF(INDIRECT(ADDRESS(ROW(),COLUMN()-1,4))="25174004","Refrigerante de motor",""))</f>
        <v>Refrigerante de motor</v>
      </c>
      <c r="C866" s="30" t="str">
        <f>IFERROR(VLOOKUP("GAL",'[1]Informacion '!P:Q,2,FALSE),"")</f>
        <v>Galón</v>
      </c>
      <c r="D866" s="28">
        <v>5</v>
      </c>
      <c r="E866" s="31">
        <v>3800</v>
      </c>
      <c r="F866" s="32">
        <f t="shared" ca="1" si="12"/>
        <v>19000</v>
      </c>
    </row>
    <row r="867" spans="1:6" x14ac:dyDescent="0.3">
      <c r="A867" s="28" t="s">
        <v>336</v>
      </c>
      <c r="B867" s="29" t="str">
        <f ca="1">IFERROR(INDEX(UNSPSCDes,MATCH(INDIRECT(ADDRESS(ROW(),COLUMN()-1,4)),UNSPSCCode,0)),IF(INDIRECT(ADDRESS(ROW(),COLUMN()-1,4))="30171508","Puertas corrediza empotrable",""))</f>
        <v>Puertas corrediza empotrable</v>
      </c>
      <c r="C867" s="30" t="str">
        <f>IFERROR(VLOOKUP("UD",'[1]Informacion '!P:Q,2,FALSE),"")</f>
        <v>Unidad</v>
      </c>
      <c r="D867" s="28">
        <v>10</v>
      </c>
      <c r="E867" s="31">
        <v>78706</v>
      </c>
      <c r="F867" s="32">
        <f t="shared" ca="1" si="12"/>
        <v>787060</v>
      </c>
    </row>
    <row r="868" spans="1:6" x14ac:dyDescent="0.3">
      <c r="A868" s="28" t="s">
        <v>337</v>
      </c>
      <c r="B868" s="29" t="str">
        <f ca="1">IFERROR(INDEX(UNSPSCDes,MATCH(INDIRECT(ADDRESS(ROW(),COLUMN()-1,4)),UNSPSCCode,0)),IF(INDIRECT(ADDRESS(ROW(),COLUMN()-1,4))="25191703","Máquinas para cambiar llantas",""))</f>
        <v>Máquinas para cambiar llantas</v>
      </c>
      <c r="C868" s="30" t="str">
        <f>IFERROR(VLOOKUP("UD",'[1]Informacion '!P:Q,2,FALSE),"")</f>
        <v>Unidad</v>
      </c>
      <c r="D868" s="28">
        <v>15</v>
      </c>
      <c r="E868" s="31">
        <v>1000</v>
      </c>
      <c r="F868" s="32">
        <f t="shared" ca="1" si="12"/>
        <v>15000</v>
      </c>
    </row>
    <row r="869" spans="1:6" x14ac:dyDescent="0.3">
      <c r="A869" s="28" t="s">
        <v>338</v>
      </c>
      <c r="B869" s="29" t="str">
        <f ca="1">IFERROR(INDEX(UNSPSCDes,MATCH(INDIRECT(ADDRESS(ROW(),COLUMN()-1,4)),UNSPSCCode,0)),IF(INDIRECT(ADDRESS(ROW(),COLUMN()-1,4))="23153411","Inflado de montaje de llantas",""))</f>
        <v>Inflado de montaje de llantas</v>
      </c>
      <c r="C869" s="30" t="str">
        <f>IFERROR(VLOOKUP("UD",'[1]Informacion '!P:Q,2,FALSE),"")</f>
        <v>Unidad</v>
      </c>
      <c r="D869" s="28">
        <v>15</v>
      </c>
      <c r="E869" s="31">
        <v>3500</v>
      </c>
      <c r="F869" s="32">
        <f t="shared" ca="1" si="12"/>
        <v>52500</v>
      </c>
    </row>
    <row r="870" spans="1:6" x14ac:dyDescent="0.3">
      <c r="A870" s="28" t="s">
        <v>339</v>
      </c>
      <c r="B870" s="29" t="str">
        <f ca="1">IFERROR(INDEX(UNSPSCDes,MATCH(INDIRECT(ADDRESS(ROW(),COLUMN()-1,4)),UNSPSCCode,0)),IF(INDIRECT(ADDRESS(ROW(),COLUMN()-1,4))="41114613","Marco de carga",""))</f>
        <v>Marco de carga</v>
      </c>
      <c r="C870" s="30" t="str">
        <f>IFERROR(VLOOKUP("UD",'[1]Informacion '!P:Q,2,FALSE),"")</f>
        <v>Unidad</v>
      </c>
      <c r="D870" s="28">
        <v>15</v>
      </c>
      <c r="E870" s="31">
        <v>1550</v>
      </c>
      <c r="F870" s="32">
        <f t="shared" ca="1" si="12"/>
        <v>23250</v>
      </c>
    </row>
    <row r="871" spans="1:6" x14ac:dyDescent="0.3">
      <c r="A871" s="28" t="s">
        <v>340</v>
      </c>
      <c r="B871" s="29" t="str">
        <f ca="1">IFERROR(INDEX(UNSPSCDes,MATCH(INDIRECT(ADDRESS(ROW(),COLUMN()-1,4)),UNSPSCCode,0)),IF(INDIRECT(ADDRESS(ROW(),COLUMN()-1,4))="27111702","Llaves para tuercas",""))</f>
        <v>Llaves para tuercas</v>
      </c>
      <c r="C871" s="30" t="str">
        <f>IFERROR(VLOOKUP("UD",'[1]Informacion '!P:Q,2,FALSE),"")</f>
        <v>Unidad</v>
      </c>
      <c r="D871" s="28">
        <v>15</v>
      </c>
      <c r="E871" s="31">
        <v>350</v>
      </c>
      <c r="F871" s="32">
        <f t="shared" ca="1" si="12"/>
        <v>5250</v>
      </c>
    </row>
    <row r="872" spans="1:6" x14ac:dyDescent="0.3">
      <c r="A872" s="28" t="s">
        <v>295</v>
      </c>
      <c r="B872" s="29" t="str">
        <f ca="1">IFERROR(INDEX(UNSPSCDes,MATCH(INDIRECT(ADDRESS(ROW(),COLUMN()-1,4)),UNSPSCCode,0)),IF(INDIRECT(ADDRESS(ROW(),COLUMN()-1,4))="27111707","Llaves ajustables",""))</f>
        <v>Llaves ajustables</v>
      </c>
      <c r="C872" s="30" t="str">
        <f>IFERROR(VLOOKUP("UD",'[1]Informacion '!P:Q,2,FALSE),"")</f>
        <v>Unidad</v>
      </c>
      <c r="D872" s="28">
        <v>15</v>
      </c>
      <c r="E872" s="31">
        <v>350</v>
      </c>
      <c r="F872" s="32">
        <f t="shared" ca="1" si="12"/>
        <v>5250</v>
      </c>
    </row>
    <row r="873" spans="1:6" x14ac:dyDescent="0.3">
      <c r="A873" s="28" t="s">
        <v>341</v>
      </c>
      <c r="B873" s="29" t="str">
        <f ca="1">IFERROR(INDEX(UNSPSCDes,MATCH(INDIRECT(ADDRESS(ROW(),COLUMN()-1,4)),UNSPSCCode,0)),IF(INDIRECT(ADDRESS(ROW(),COLUMN()-1,4))="27111726","Llaves de tuercas",""))</f>
        <v>Llaves de tuercas</v>
      </c>
      <c r="C873" s="30" t="str">
        <f>IFERROR(VLOOKUP("UD",'[1]Informacion '!P:Q,2,FALSE),"")</f>
        <v>Unidad</v>
      </c>
      <c r="D873" s="28">
        <v>15</v>
      </c>
      <c r="E873" s="31">
        <v>350</v>
      </c>
      <c r="F873" s="32">
        <f t="shared" ca="1" si="12"/>
        <v>5250</v>
      </c>
    </row>
    <row r="874" spans="1:6" x14ac:dyDescent="0.3">
      <c r="A874" s="28" t="s">
        <v>342</v>
      </c>
      <c r="B874" s="29" t="str">
        <f ca="1">IFERROR(INDEX(UNSPSCDes,MATCH(INDIRECT(ADDRESS(ROW(),COLUMN()-1,4)),UNSPSCCode,0)),IF(INDIRECT(ADDRESS(ROW(),COLUMN()-1,4))="27112107","Alicates boquianchos ajustables",""))</f>
        <v>Alicates boquianchos ajustables</v>
      </c>
      <c r="C874" s="30" t="str">
        <f>IFERROR(VLOOKUP("UD",'[1]Informacion '!P:Q,2,FALSE),"")</f>
        <v>Unidad</v>
      </c>
      <c r="D874" s="28">
        <v>15</v>
      </c>
      <c r="E874" s="31">
        <v>750</v>
      </c>
      <c r="F874" s="32">
        <f t="shared" ca="1" si="12"/>
        <v>11250</v>
      </c>
    </row>
    <row r="875" spans="1:6" x14ac:dyDescent="0.3">
      <c r="A875" s="28" t="s">
        <v>343</v>
      </c>
      <c r="B875" s="29" t="str">
        <f ca="1">IFERROR(INDEX(UNSPSCDes,MATCH(INDIRECT(ADDRESS(ROW(),COLUMN()-1,4)),UNSPSCCode,0)),IF(INDIRECT(ADDRESS(ROW(),COLUMN()-1,4))="27112122","Alicates de hoja metálica",""))</f>
        <v>Alicates de hoja metálica</v>
      </c>
      <c r="C875" s="30" t="str">
        <f>IFERROR(VLOOKUP("UD",'[1]Informacion '!P:Q,2,FALSE),"")</f>
        <v>Unidad</v>
      </c>
      <c r="D875" s="28">
        <v>15</v>
      </c>
      <c r="E875" s="31">
        <v>400</v>
      </c>
      <c r="F875" s="32">
        <f t="shared" ca="1" si="12"/>
        <v>6000</v>
      </c>
    </row>
    <row r="876" spans="1:6" x14ac:dyDescent="0.3">
      <c r="A876" s="28" t="s">
        <v>301</v>
      </c>
      <c r="B876" s="29" t="str">
        <f ca="1">IFERROR(INDEX(UNSPSCDes,MATCH(INDIRECT(ADDRESS(ROW(),COLUMN()-1,4)),UNSPSCCode,0)),IF(INDIRECT(ADDRESS(ROW(),COLUMN()-1,4))="27111701","Destornilladores",""))</f>
        <v>Destornilladores</v>
      </c>
      <c r="C876" s="30" t="str">
        <f>IFERROR(VLOOKUP("UD",'[1]Informacion '!P:Q,2,FALSE),"")</f>
        <v>Unidad</v>
      </c>
      <c r="D876" s="28">
        <v>15</v>
      </c>
      <c r="E876" s="31">
        <v>320</v>
      </c>
      <c r="F876" s="32">
        <f t="shared" ca="1" si="12"/>
        <v>4800</v>
      </c>
    </row>
    <row r="877" spans="1:6" x14ac:dyDescent="0.3">
      <c r="A877" s="28" t="s">
        <v>301</v>
      </c>
      <c r="B877" s="29" t="str">
        <f ca="1">IFERROR(INDEX(UNSPSCDes,MATCH(INDIRECT(ADDRESS(ROW(),COLUMN()-1,4)),UNSPSCCode,0)),IF(INDIRECT(ADDRESS(ROW(),COLUMN()-1,4))="27111701","Destornilladores",""))</f>
        <v>Destornilladores</v>
      </c>
      <c r="C877" s="30" t="str">
        <f>IFERROR(VLOOKUP("UD",'[1]Informacion '!P:Q,2,FALSE),"")</f>
        <v>Unidad</v>
      </c>
      <c r="D877" s="28">
        <v>15</v>
      </c>
      <c r="E877" s="31">
        <v>300</v>
      </c>
      <c r="F877" s="32">
        <f t="shared" ca="1" si="12"/>
        <v>4500</v>
      </c>
    </row>
    <row r="878" spans="1:6" x14ac:dyDescent="0.3">
      <c r="A878" s="28" t="s">
        <v>344</v>
      </c>
      <c r="B878" s="29" t="str">
        <f ca="1">IFERROR(INDEX(UNSPSCDes,MATCH(INDIRECT(ADDRESS(ROW(),COLUMN()-1,4)),UNSPSCCode,0)),IF(INDIRECT(ADDRESS(ROW(),COLUMN()-1,4))="27112809","Portaherramientas",""))</f>
        <v>Portaherramientas</v>
      </c>
      <c r="C878" s="30" t="str">
        <f>IFERROR(VLOOKUP("UD",'[1]Informacion '!P:Q,2,FALSE),"")</f>
        <v>Unidad</v>
      </c>
      <c r="D878" s="28">
        <v>15</v>
      </c>
      <c r="E878" s="31">
        <v>2100</v>
      </c>
      <c r="F878" s="32">
        <f t="shared" ca="1" si="12"/>
        <v>31500</v>
      </c>
    </row>
    <row r="879" spans="1:6" x14ac:dyDescent="0.3">
      <c r="A879" s="19"/>
      <c r="B879" s="19"/>
      <c r="C879" s="19"/>
      <c r="D879" s="19"/>
      <c r="E879" s="33" t="s">
        <v>48</v>
      </c>
      <c r="F879" s="34">
        <f ca="1">SUM(Table52[MONTO TOTAL ESTIMADO])</f>
        <v>999110</v>
      </c>
    </row>
    <row r="880" spans="1:6" ht="15" thickBot="1" x14ac:dyDescent="0.35">
      <c r="A880" s="19"/>
      <c r="B880" s="19"/>
      <c r="C880" s="19"/>
      <c r="D880" s="19"/>
      <c r="E880" s="19"/>
      <c r="F880" s="19"/>
    </row>
    <row r="881" spans="1:6" ht="21" thickBot="1" x14ac:dyDescent="0.35">
      <c r="A881" s="20" t="s">
        <v>19</v>
      </c>
      <c r="B881" s="20" t="s">
        <v>20</v>
      </c>
      <c r="C881" s="20" t="s">
        <v>21</v>
      </c>
      <c r="D881" s="20" t="s">
        <v>22</v>
      </c>
      <c r="E881" s="20" t="s">
        <v>23</v>
      </c>
      <c r="F881" s="20" t="s">
        <v>24</v>
      </c>
    </row>
    <row r="882" spans="1:6" ht="15" thickBot="1" x14ac:dyDescent="0.35">
      <c r="A882" s="21" t="s">
        <v>345</v>
      </c>
      <c r="B882" s="21" t="s">
        <v>346</v>
      </c>
      <c r="C882" s="21" t="s">
        <v>60</v>
      </c>
      <c r="D882" s="21" t="s">
        <v>61</v>
      </c>
      <c r="E882" s="21" t="s">
        <v>54</v>
      </c>
      <c r="F882" s="21" t="s">
        <v>18</v>
      </c>
    </row>
    <row r="883" spans="1:6" ht="15" thickBot="1" x14ac:dyDescent="0.35">
      <c r="A883" s="41" t="s">
        <v>30</v>
      </c>
      <c r="B883" s="22" t="s">
        <v>31</v>
      </c>
      <c r="C883" s="23">
        <v>44972</v>
      </c>
      <c r="D883" s="41" t="s">
        <v>32</v>
      </c>
      <c r="E883" s="24" t="s">
        <v>33</v>
      </c>
      <c r="F883" s="25" t="s">
        <v>34</v>
      </c>
    </row>
    <row r="884" spans="1:6" ht="15" thickBot="1" x14ac:dyDescent="0.35">
      <c r="A884" s="42"/>
      <c r="B884" s="22" t="s">
        <v>35</v>
      </c>
      <c r="C884" s="26">
        <f>IF(C883="","",IF(AND(MONTH(C883)&gt;=1,MONTH(C883)&lt;=3),1,IF(AND(MONTH(C883)&gt;=4,MONTH(C883)&lt;=6),2,IF(AND(MONTH(C883)&gt;=7,MONTH(C883)&lt;=9),3,4))))</f>
        <v>1</v>
      </c>
      <c r="D884" s="42"/>
      <c r="E884" s="24" t="s">
        <v>36</v>
      </c>
      <c r="F884" s="25" t="s">
        <v>37</v>
      </c>
    </row>
    <row r="885" spans="1:6" ht="15" thickBot="1" x14ac:dyDescent="0.35">
      <c r="A885" s="42"/>
      <c r="B885" s="22" t="s">
        <v>38</v>
      </c>
      <c r="C885" s="23">
        <v>45000</v>
      </c>
      <c r="D885" s="42"/>
      <c r="E885" s="24" t="s">
        <v>39</v>
      </c>
      <c r="F885" s="25" t="s">
        <v>37</v>
      </c>
    </row>
    <row r="886" spans="1:6" ht="15" thickBot="1" x14ac:dyDescent="0.35">
      <c r="A886" s="42"/>
      <c r="B886" s="22" t="s">
        <v>35</v>
      </c>
      <c r="C886" s="26">
        <f>IF(C885="","",IF(AND(MONTH(C885)&gt;=1,MONTH(C885)&lt;=3),1,IF(AND(MONTH(C885)&gt;=4,MONTH(C885)&lt;=6),2,IF(AND(MONTH(C885)&gt;=7,MONTH(C885)&lt;=9),3,4))))</f>
        <v>1</v>
      </c>
      <c r="D886" s="42"/>
      <c r="E886" s="24" t="s">
        <v>40</v>
      </c>
      <c r="F886" s="25"/>
    </row>
    <row r="887" spans="1:6" ht="15" thickBot="1" x14ac:dyDescent="0.35">
      <c r="A887" s="19"/>
      <c r="B887" s="19"/>
      <c r="C887" s="19"/>
      <c r="D887" s="19"/>
      <c r="E887" s="19"/>
      <c r="F887" s="19"/>
    </row>
    <row r="888" spans="1:6" ht="15" thickBot="1" x14ac:dyDescent="0.35">
      <c r="A888" s="27" t="s">
        <v>41</v>
      </c>
      <c r="B888" s="27" t="s">
        <v>42</v>
      </c>
      <c r="C888" s="27" t="s">
        <v>43</v>
      </c>
      <c r="D888" s="27" t="s">
        <v>44</v>
      </c>
      <c r="E888" s="27" t="s">
        <v>45</v>
      </c>
      <c r="F888" s="27" t="s">
        <v>46</v>
      </c>
    </row>
    <row r="889" spans="1:6" x14ac:dyDescent="0.3">
      <c r="A889" s="28" t="s">
        <v>210</v>
      </c>
      <c r="B889" s="29" t="str">
        <f ca="1">IFERROR(INDEX(UNSPSCDes,MATCH(INDIRECT(ADDRESS(ROW(),COLUMN()-1,4)),UNSPSCCode,0)),IF(INDIRECT(ADDRESS(ROW(),COLUMN()-1,4))="46181504","Guantes de protección",""))</f>
        <v>Guantes de protección</v>
      </c>
      <c r="C889" s="30" t="str">
        <f>IFERROR(VLOOKUP("UD",'[1]Informacion '!P:Q,2,FALSE),"")</f>
        <v>Unidad</v>
      </c>
      <c r="D889" s="28">
        <v>250</v>
      </c>
      <c r="E889" s="31">
        <v>750</v>
      </c>
      <c r="F889" s="32">
        <f t="shared" ref="F889:F897" ca="1" si="13">INDIRECT(ADDRESS(ROW(),COLUMN()-2,4))*INDIRECT(ADDRESS(ROW(),COLUMN()-1,4))</f>
        <v>187500</v>
      </c>
    </row>
    <row r="890" spans="1:6" x14ac:dyDescent="0.3">
      <c r="A890" s="28" t="s">
        <v>347</v>
      </c>
      <c r="B890" s="29" t="str">
        <f ca="1">IFERROR(INDEX(UNSPSCDes,MATCH(INDIRECT(ADDRESS(ROW(),COLUMN()-1,4)),UNSPSCCode,0)),IF(INDIRECT(ADDRESS(ROW(),COLUMN()-1,4))="55121704","Señales de seguridad",""))</f>
        <v>Señales de seguridad</v>
      </c>
      <c r="C890" s="30" t="str">
        <f>IFERROR(VLOOKUP("UD",'[1]Informacion '!P:Q,2,FALSE),"")</f>
        <v>Unidad</v>
      </c>
      <c r="D890" s="28">
        <v>24</v>
      </c>
      <c r="E890" s="31">
        <v>1300</v>
      </c>
      <c r="F890" s="32">
        <f t="shared" ca="1" si="13"/>
        <v>31200</v>
      </c>
    </row>
    <row r="891" spans="1:6" x14ac:dyDescent="0.3">
      <c r="A891" s="28" t="s">
        <v>348</v>
      </c>
      <c r="B891" s="29" t="str">
        <f ca="1">IFERROR(INDEX(UNSPSCDes,MATCH(INDIRECT(ADDRESS(ROW(),COLUMN()-1,4)),UNSPSCCode,0)),IF(INDIRECT(ADDRESS(ROW(),COLUMN()-1,4))="46181507","Chalecos de seguridad",""))</f>
        <v>Chalecos de seguridad</v>
      </c>
      <c r="C891" s="30" t="str">
        <f>IFERROR(VLOOKUP("UD",'[1]Informacion '!P:Q,2,FALSE),"")</f>
        <v>Unidad</v>
      </c>
      <c r="D891" s="28">
        <v>200</v>
      </c>
      <c r="E891" s="31">
        <v>1800</v>
      </c>
      <c r="F891" s="32">
        <f t="shared" ca="1" si="13"/>
        <v>360000</v>
      </c>
    </row>
    <row r="892" spans="1:6" x14ac:dyDescent="0.3">
      <c r="A892" s="28" t="s">
        <v>313</v>
      </c>
      <c r="B892" s="29" t="str">
        <f ca="1">IFERROR(INDEX(UNSPSCDes,MATCH(INDIRECT(ADDRESS(ROW(),COLUMN()-1,4)),UNSPSCCode,0)),IF(INDIRECT(ADDRESS(ROW(),COLUMN()-1,4))="46181525","Ropa impermeable protectora o ropa para ambiente húmedo",""))</f>
        <v>Ropa impermeable protectora o ropa para ambiente húmedo</v>
      </c>
      <c r="C892" s="30" t="str">
        <f>IFERROR(VLOOKUP("UD",'[1]Informacion '!P:Q,2,FALSE),"")</f>
        <v>Unidad</v>
      </c>
      <c r="D892" s="28">
        <v>50</v>
      </c>
      <c r="E892" s="31">
        <v>1200</v>
      </c>
      <c r="F892" s="32">
        <f t="shared" ca="1" si="13"/>
        <v>60000</v>
      </c>
    </row>
    <row r="893" spans="1:6" x14ac:dyDescent="0.3">
      <c r="A893" s="28" t="s">
        <v>349</v>
      </c>
      <c r="B893" s="29" t="str">
        <f ca="1">IFERROR(INDEX(UNSPSCDes,MATCH(INDIRECT(ADDRESS(ROW(),COLUMN()-1,4)),UNSPSCCode,0)),IF(INDIRECT(ADDRESS(ROW(),COLUMN()-1,4))="46181705","Cascos para motociclistas",""))</f>
        <v>Cascos para motociclistas</v>
      </c>
      <c r="C893" s="30" t="str">
        <f>IFERROR(VLOOKUP("UD",'[1]Informacion '!P:Q,2,FALSE),"")</f>
        <v>Unidad</v>
      </c>
      <c r="D893" s="28">
        <v>4</v>
      </c>
      <c r="E893" s="31">
        <v>3200</v>
      </c>
      <c r="F893" s="32">
        <f t="shared" ca="1" si="13"/>
        <v>12800</v>
      </c>
    </row>
    <row r="894" spans="1:6" x14ac:dyDescent="0.3">
      <c r="A894" s="28" t="s">
        <v>350</v>
      </c>
      <c r="B894" s="29" t="str">
        <f ca="1">IFERROR(INDEX(UNSPSCDes,MATCH(INDIRECT(ADDRESS(ROW(),COLUMN()-1,4)),UNSPSCCode,0)),IF(INDIRECT(ADDRESS(ROW(),COLUMN()-1,4))="46181804","Gafas protectoras",""))</f>
        <v>Gafas protectoras</v>
      </c>
      <c r="C894" s="30" t="str">
        <f>IFERROR(VLOOKUP("UD",'[1]Informacion '!P:Q,2,FALSE),"")</f>
        <v>Unidad</v>
      </c>
      <c r="D894" s="28">
        <v>200</v>
      </c>
      <c r="E894" s="31">
        <v>2100</v>
      </c>
      <c r="F894" s="32">
        <f t="shared" ca="1" si="13"/>
        <v>420000</v>
      </c>
    </row>
    <row r="895" spans="1:6" x14ac:dyDescent="0.3">
      <c r="A895" s="28" t="s">
        <v>351</v>
      </c>
      <c r="B895" s="29" t="str">
        <f ca="1">IFERROR(INDEX(UNSPSCDes,MATCH(INDIRECT(ADDRESS(ROW(),COLUMN()-1,4)),UNSPSCCode,0)),IF(INDIRECT(ADDRESS(ROW(),COLUMN()-1,4))="46191501","Detectores de humo",""))</f>
        <v>Detectores de humo</v>
      </c>
      <c r="C895" s="30" t="str">
        <f>IFERROR(VLOOKUP("PAQ",'[1]Informacion '!P:Q,2,FALSE),"")</f>
        <v>Paquete</v>
      </c>
      <c r="D895" s="28">
        <v>100</v>
      </c>
      <c r="E895" s="31">
        <v>2400</v>
      </c>
      <c r="F895" s="32">
        <f t="shared" ca="1" si="13"/>
        <v>240000</v>
      </c>
    </row>
    <row r="896" spans="1:6" x14ac:dyDescent="0.3">
      <c r="A896" s="28" t="s">
        <v>352</v>
      </c>
      <c r="B896" s="29" t="str">
        <f ca="1">IFERROR(INDEX(UNSPSCDes,MATCH(INDIRECT(ADDRESS(ROW(),COLUMN()-1,4)),UNSPSCCode,0)),IF(INDIRECT(ADDRESS(ROW(),COLUMN()-1,4))="46171501","Candados",""))</f>
        <v>Candados</v>
      </c>
      <c r="C896" s="30" t="str">
        <f>IFERROR(VLOOKUP("UD",'[1]Informacion '!P:Q,2,FALSE),"")</f>
        <v>Unidad</v>
      </c>
      <c r="D896" s="28">
        <v>20</v>
      </c>
      <c r="E896" s="31">
        <v>701</v>
      </c>
      <c r="F896" s="32">
        <f t="shared" ca="1" si="13"/>
        <v>14020</v>
      </c>
    </row>
    <row r="897" spans="1:6" x14ac:dyDescent="0.3">
      <c r="A897" s="28" t="s">
        <v>353</v>
      </c>
      <c r="B897" s="29" t="str">
        <f ca="1">IFERROR(INDEX(UNSPSCDes,MATCH(INDIRECT(ADDRESS(ROW(),COLUMN()-1,4)),UNSPSCCode,0)),IF(INDIRECT(ADDRESS(ROW(),COLUMN()-1,4))="46181604","Botas de seguridad",""))</f>
        <v>Botas de seguridad</v>
      </c>
      <c r="C897" s="30" t="str">
        <f>IFERROR(VLOOKUP("UD",'[1]Informacion '!P:Q,2,FALSE),"")</f>
        <v>Unidad</v>
      </c>
      <c r="D897" s="28">
        <v>250</v>
      </c>
      <c r="E897" s="31">
        <v>10500</v>
      </c>
      <c r="F897" s="32">
        <f t="shared" ca="1" si="13"/>
        <v>2625000</v>
      </c>
    </row>
    <row r="898" spans="1:6" x14ac:dyDescent="0.3">
      <c r="A898" s="19"/>
      <c r="B898" s="19"/>
      <c r="C898" s="19"/>
      <c r="D898" s="19"/>
      <c r="E898" s="33" t="s">
        <v>48</v>
      </c>
      <c r="F898" s="34">
        <f ca="1">SUM(Table53[MONTO TOTAL ESTIMADO])</f>
        <v>3950520</v>
      </c>
    </row>
    <row r="899" spans="1:6" ht="15" thickBot="1" x14ac:dyDescent="0.35">
      <c r="A899" s="19"/>
      <c r="B899" s="19"/>
      <c r="C899" s="19"/>
      <c r="D899" s="19"/>
      <c r="E899" s="19"/>
      <c r="F899" s="19"/>
    </row>
    <row r="900" spans="1:6" ht="21" thickBot="1" x14ac:dyDescent="0.35">
      <c r="A900" s="20" t="s">
        <v>19</v>
      </c>
      <c r="B900" s="20" t="s">
        <v>20</v>
      </c>
      <c r="C900" s="20" t="s">
        <v>21</v>
      </c>
      <c r="D900" s="20" t="s">
        <v>22</v>
      </c>
      <c r="E900" s="20" t="s">
        <v>23</v>
      </c>
      <c r="F900" s="20" t="s">
        <v>24</v>
      </c>
    </row>
    <row r="901" spans="1:6" ht="15" thickBot="1" x14ac:dyDescent="0.35">
      <c r="A901" s="21" t="s">
        <v>354</v>
      </c>
      <c r="B901" s="21" t="s">
        <v>355</v>
      </c>
      <c r="C901" s="21" t="s">
        <v>60</v>
      </c>
      <c r="D901" s="21" t="s">
        <v>68</v>
      </c>
      <c r="E901" s="21" t="s">
        <v>29</v>
      </c>
      <c r="F901" s="21" t="s">
        <v>18</v>
      </c>
    </row>
    <row r="902" spans="1:6" ht="15" thickBot="1" x14ac:dyDescent="0.35">
      <c r="A902" s="41" t="s">
        <v>30</v>
      </c>
      <c r="B902" s="22" t="s">
        <v>31</v>
      </c>
      <c r="C902" s="23">
        <v>44972</v>
      </c>
      <c r="D902" s="41" t="s">
        <v>32</v>
      </c>
      <c r="E902" s="24" t="s">
        <v>33</v>
      </c>
      <c r="F902" s="25" t="s">
        <v>34</v>
      </c>
    </row>
    <row r="903" spans="1:6" ht="15" thickBot="1" x14ac:dyDescent="0.35">
      <c r="A903" s="42"/>
      <c r="B903" s="22" t="s">
        <v>35</v>
      </c>
      <c r="C903" s="26">
        <f>IF(C902="","",IF(AND(MONTH(C902)&gt;=1,MONTH(C902)&lt;=3),1,IF(AND(MONTH(C902)&gt;=4,MONTH(C902)&lt;=6),2,IF(AND(MONTH(C902)&gt;=7,MONTH(C902)&lt;=9),3,4))))</f>
        <v>1</v>
      </c>
      <c r="D903" s="42"/>
      <c r="E903" s="24" t="s">
        <v>36</v>
      </c>
      <c r="F903" s="25" t="s">
        <v>37</v>
      </c>
    </row>
    <row r="904" spans="1:6" ht="15" thickBot="1" x14ac:dyDescent="0.35">
      <c r="A904" s="42"/>
      <c r="B904" s="22" t="s">
        <v>38</v>
      </c>
      <c r="C904" s="23">
        <v>45061</v>
      </c>
      <c r="D904" s="42"/>
      <c r="E904" s="24" t="s">
        <v>39</v>
      </c>
      <c r="F904" s="25" t="s">
        <v>37</v>
      </c>
    </row>
    <row r="905" spans="1:6" ht="15" thickBot="1" x14ac:dyDescent="0.35">
      <c r="A905" s="42"/>
      <c r="B905" s="22" t="s">
        <v>35</v>
      </c>
      <c r="C905" s="26">
        <f>IF(C904="","",IF(AND(MONTH(C904)&gt;=1,MONTH(C904)&lt;=3),1,IF(AND(MONTH(C904)&gt;=4,MONTH(C904)&lt;=6),2,IF(AND(MONTH(C904)&gt;=7,MONTH(C904)&lt;=9),3,4))))</f>
        <v>2</v>
      </c>
      <c r="D905" s="42"/>
      <c r="E905" s="24" t="s">
        <v>40</v>
      </c>
      <c r="F905" s="25"/>
    </row>
    <row r="906" spans="1:6" ht="15" thickBot="1" x14ac:dyDescent="0.35">
      <c r="A906" s="19"/>
      <c r="B906" s="19"/>
      <c r="C906" s="19"/>
      <c r="D906" s="19"/>
      <c r="E906" s="19"/>
      <c r="F906" s="19"/>
    </row>
    <row r="907" spans="1:6" ht="15" thickBot="1" x14ac:dyDescent="0.35">
      <c r="A907" s="27" t="s">
        <v>41</v>
      </c>
      <c r="B907" s="27" t="s">
        <v>42</v>
      </c>
      <c r="C907" s="27" t="s">
        <v>43</v>
      </c>
      <c r="D907" s="27" t="s">
        <v>44</v>
      </c>
      <c r="E907" s="27" t="s">
        <v>45</v>
      </c>
      <c r="F907" s="27" t="s">
        <v>46</v>
      </c>
    </row>
    <row r="908" spans="1:6" x14ac:dyDescent="0.3">
      <c r="A908" s="28" t="s">
        <v>356</v>
      </c>
      <c r="B908" s="29" t="str">
        <f ca="1">IFERROR(INDEX(UNSPSCDes,MATCH(INDIRECT(ADDRESS(ROW(),COLUMN()-1,4)),UNSPSCCode,0)),IF(INDIRECT(ADDRESS(ROW(),COLUMN()-1,4))="44102801","Laminadoras",""))</f>
        <v>Laminadoras</v>
      </c>
      <c r="C908" s="30" t="str">
        <f>IFERROR(VLOOKUP("UD",'[1]Informacion '!P:Q,2,FALSE),"")</f>
        <v>Unidad</v>
      </c>
      <c r="D908" s="28">
        <v>3</v>
      </c>
      <c r="E908" s="31">
        <v>3500</v>
      </c>
      <c r="F908" s="32">
        <f t="shared" ref="F908:F934" ca="1" si="14">INDIRECT(ADDRESS(ROW(),COLUMN()-2,4))*INDIRECT(ADDRESS(ROW(),COLUMN()-1,4))</f>
        <v>10500</v>
      </c>
    </row>
    <row r="909" spans="1:6" x14ac:dyDescent="0.3">
      <c r="A909" s="28" t="s">
        <v>357</v>
      </c>
      <c r="B909" s="29" t="str">
        <f ca="1">IFERROR(INDEX(UNSPSCDes,MATCH(INDIRECT(ADDRESS(ROW(),COLUMN()-1,4)),UNSPSCCode,0)),IF(INDIRECT(ADDRESS(ROW(),COLUMN()-1,4))="24102004","Estanterías para almacenaje",""))</f>
        <v>Estanterías para almacenaje</v>
      </c>
      <c r="C909" s="30" t="str">
        <f>IFERROR(VLOOKUP("UD",'[1]Informacion '!P:Q,2,FALSE),"")</f>
        <v>Unidad</v>
      </c>
      <c r="D909" s="28">
        <v>18</v>
      </c>
      <c r="E909" s="31">
        <v>8600</v>
      </c>
      <c r="F909" s="32">
        <f t="shared" ca="1" si="14"/>
        <v>154800</v>
      </c>
    </row>
    <row r="910" spans="1:6" x14ac:dyDescent="0.3">
      <c r="A910" s="28" t="s">
        <v>358</v>
      </c>
      <c r="B910" s="29" t="str">
        <f ca="1">IFERROR(INDEX(UNSPSCDes,MATCH(INDIRECT(ADDRESS(ROW(),COLUMN()-1,4)),UNSPSCCode,0)),IF(INDIRECT(ADDRESS(ROW(),COLUMN()-1,4))="56101502","Sofás",""))</f>
        <v>Sofás</v>
      </c>
      <c r="C910" s="30" t="str">
        <f>IFERROR(VLOOKUP("UD",'[1]Informacion '!P:Q,2,FALSE),"")</f>
        <v>Unidad</v>
      </c>
      <c r="D910" s="28">
        <v>2</v>
      </c>
      <c r="E910" s="31">
        <v>23100</v>
      </c>
      <c r="F910" s="32">
        <f t="shared" ca="1" si="14"/>
        <v>46200</v>
      </c>
    </row>
    <row r="911" spans="1:6" x14ac:dyDescent="0.3">
      <c r="A911" s="28" t="s">
        <v>359</v>
      </c>
      <c r="B911" s="29" t="str">
        <f ca="1">IFERROR(INDEX(UNSPSCDes,MATCH(INDIRECT(ADDRESS(ROW(),COLUMN()-1,4)),UNSPSCCode,0)),IF(INDIRECT(ADDRESS(ROW(),COLUMN()-1,4))="56101505","Centros de entretenimiento",""))</f>
        <v>Centros de entretenimiento</v>
      </c>
      <c r="C911" s="30" t="str">
        <f>IFERROR(VLOOKUP("UD",'[1]Informacion '!P:Q,2,FALSE),"")</f>
        <v>Unidad</v>
      </c>
      <c r="D911" s="28">
        <v>2</v>
      </c>
      <c r="E911" s="31">
        <v>23100</v>
      </c>
      <c r="F911" s="32">
        <f t="shared" ca="1" si="14"/>
        <v>46200</v>
      </c>
    </row>
    <row r="912" spans="1:6" x14ac:dyDescent="0.3">
      <c r="A912" s="28" t="s">
        <v>360</v>
      </c>
      <c r="B912" s="29" t="str">
        <f ca="1">IFERROR(INDEX(UNSPSCDes,MATCH(INDIRECT(ADDRESS(ROW(),COLUMN()-1,4)),UNSPSCCode,0)),IF(INDIRECT(ADDRESS(ROW(),COLUMN()-1,4))="30161801","Armarios",""))</f>
        <v>Armarios</v>
      </c>
      <c r="C912" s="30" t="str">
        <f>IFERROR(VLOOKUP("UD",'[1]Informacion '!P:Q,2,FALSE),"")</f>
        <v>Unidad</v>
      </c>
      <c r="D912" s="28">
        <v>170</v>
      </c>
      <c r="E912" s="31">
        <v>6800</v>
      </c>
      <c r="F912" s="32">
        <f t="shared" ca="1" si="14"/>
        <v>1156000</v>
      </c>
    </row>
    <row r="913" spans="1:6" x14ac:dyDescent="0.3">
      <c r="A913" s="28" t="s">
        <v>361</v>
      </c>
      <c r="B913" s="29" t="str">
        <f ca="1">IFERROR(INDEX(UNSPSCDes,MATCH(INDIRECT(ADDRESS(ROW(),COLUMN()-1,4)),UNSPSCCode,0)),IF(INDIRECT(ADDRESS(ROW(),COLUMN()-1,4))="56101538","Mesas o bufetes para el comedor",""))</f>
        <v>Mesas o bufetes para el comedor</v>
      </c>
      <c r="C913" s="30" t="str">
        <f>IFERROR(VLOOKUP("UD",'[1]Informacion '!P:Q,2,FALSE),"")</f>
        <v>Unidad</v>
      </c>
      <c r="D913" s="28">
        <v>4</v>
      </c>
      <c r="E913" s="31">
        <v>8800</v>
      </c>
      <c r="F913" s="32">
        <f t="shared" ca="1" si="14"/>
        <v>35200</v>
      </c>
    </row>
    <row r="914" spans="1:6" x14ac:dyDescent="0.3">
      <c r="A914" s="28" t="s">
        <v>362</v>
      </c>
      <c r="B914" s="29" t="str">
        <f ca="1">IFERROR(INDEX(UNSPSCDes,MATCH(INDIRECT(ADDRESS(ROW(),COLUMN()-1,4)),UNSPSCCode,0)),IF(INDIRECT(ADDRESS(ROW(),COLUMN()-1,4))="56101519","Mesas",""))</f>
        <v>Mesas</v>
      </c>
      <c r="C914" s="30" t="str">
        <f>IFERROR(VLOOKUP("UD",'[1]Informacion '!P:Q,2,FALSE),"")</f>
        <v>Unidad</v>
      </c>
      <c r="D914" s="28">
        <v>2</v>
      </c>
      <c r="E914" s="31">
        <v>8800</v>
      </c>
      <c r="F914" s="32">
        <f t="shared" ca="1" si="14"/>
        <v>17600</v>
      </c>
    </row>
    <row r="915" spans="1:6" x14ac:dyDescent="0.3">
      <c r="A915" s="28" t="s">
        <v>363</v>
      </c>
      <c r="B915" s="29" t="str">
        <f ca="1">IFERROR(INDEX(UNSPSCDes,MATCH(INDIRECT(ADDRESS(ROW(),COLUMN()-1,4)),UNSPSCCode,0)),IF(INDIRECT(ADDRESS(ROW(),COLUMN()-1,4))="56101602","Sillas para jardín",""))</f>
        <v>Sillas para jardín</v>
      </c>
      <c r="C915" s="30" t="str">
        <f>IFERROR(VLOOKUP("UD",'[1]Informacion '!P:Q,2,FALSE),"")</f>
        <v>Unidad</v>
      </c>
      <c r="D915" s="28">
        <v>200</v>
      </c>
      <c r="E915" s="31">
        <v>3100</v>
      </c>
      <c r="F915" s="32">
        <f t="shared" ca="1" si="14"/>
        <v>620000</v>
      </c>
    </row>
    <row r="916" spans="1:6" x14ac:dyDescent="0.3">
      <c r="A916" s="28" t="s">
        <v>364</v>
      </c>
      <c r="B916" s="29" t="str">
        <f ca="1">IFERROR(INDEX(UNSPSCDes,MATCH(INDIRECT(ADDRESS(ROW(),COLUMN()-1,4)),UNSPSCCode,0)),IF(INDIRECT(ADDRESS(ROW(),COLUMN()-1,4))="44111510","Organizadores o accesorios de colgar",""))</f>
        <v>Organizadores o accesorios de colgar</v>
      </c>
      <c r="C916" s="30" t="str">
        <f>IFERROR(VLOOKUP("UD",'[1]Informacion '!P:Q,2,FALSE),"")</f>
        <v>Unidad</v>
      </c>
      <c r="D916" s="28">
        <v>12</v>
      </c>
      <c r="E916" s="31">
        <v>3050</v>
      </c>
      <c r="F916" s="32">
        <f t="shared" ca="1" si="14"/>
        <v>36600</v>
      </c>
    </row>
    <row r="917" spans="1:6" x14ac:dyDescent="0.3">
      <c r="A917" s="28" t="s">
        <v>365</v>
      </c>
      <c r="B917" s="29" t="str">
        <f ca="1">IFERROR(INDEX(UNSPSCDes,MATCH(INDIRECT(ADDRESS(ROW(),COLUMN()-1,4)),UNSPSCCode,0)),IF(INDIRECT(ADDRESS(ROW(),COLUMN()-1,4))="56101603","Mesas para jardín o mesas para picnic",""))</f>
        <v>Mesas para jardín o mesas para picnic</v>
      </c>
      <c r="C917" s="30" t="str">
        <f>IFERROR(VLOOKUP("UD",'[1]Informacion '!P:Q,2,FALSE),"")</f>
        <v>Unidad</v>
      </c>
      <c r="D917" s="28">
        <v>10</v>
      </c>
      <c r="E917" s="31">
        <v>10400</v>
      </c>
      <c r="F917" s="32">
        <f t="shared" ca="1" si="14"/>
        <v>104000</v>
      </c>
    </row>
    <row r="918" spans="1:6" x14ac:dyDescent="0.3">
      <c r="A918" s="28" t="s">
        <v>366</v>
      </c>
      <c r="B918" s="29" t="str">
        <f ca="1">IFERROR(INDEX(UNSPSCDes,MATCH(INDIRECT(ADDRESS(ROW(),COLUMN()-1,4)),UNSPSCCode,0)),IF(INDIRECT(ADDRESS(ROW(),COLUMN()-1,4))="56101606","Materas",""))</f>
        <v>Materas</v>
      </c>
      <c r="C918" s="30" t="str">
        <f>IFERROR(VLOOKUP("UD",'[1]Informacion '!P:Q,2,FALSE),"")</f>
        <v>Unidad</v>
      </c>
      <c r="D918" s="28">
        <v>12</v>
      </c>
      <c r="E918" s="31">
        <v>5400</v>
      </c>
      <c r="F918" s="32">
        <f t="shared" ca="1" si="14"/>
        <v>64800</v>
      </c>
    </row>
    <row r="919" spans="1:6" x14ac:dyDescent="0.3">
      <c r="A919" s="28" t="s">
        <v>367</v>
      </c>
      <c r="B919" s="29" t="str">
        <f ca="1">IFERROR(INDEX(UNSPSCDes,MATCH(INDIRECT(ADDRESS(ROW(),COLUMN()-1,4)),UNSPSCCode,0)),IF(INDIRECT(ADDRESS(ROW(),COLUMN()-1,4))="56101701","Cajoneras o estanterías",""))</f>
        <v>Cajoneras o estanterías</v>
      </c>
      <c r="C919" s="30" t="str">
        <f>IFERROR(VLOOKUP("UD",'[1]Informacion '!P:Q,2,FALSE),"")</f>
        <v>Unidad</v>
      </c>
      <c r="D919" s="28">
        <v>12</v>
      </c>
      <c r="E919" s="31">
        <v>15500</v>
      </c>
      <c r="F919" s="32">
        <f t="shared" ca="1" si="14"/>
        <v>186000</v>
      </c>
    </row>
    <row r="920" spans="1:6" x14ac:dyDescent="0.3">
      <c r="A920" s="28" t="s">
        <v>368</v>
      </c>
      <c r="B920" s="29" t="str">
        <f ca="1">IFERROR(INDEX(UNSPSCDes,MATCH(INDIRECT(ADDRESS(ROW(),COLUMN()-1,4)),UNSPSCCode,0)),IF(INDIRECT(ADDRESS(ROW(),COLUMN()-1,4))="56101702","Gabinetes de archivo o accesorios",""))</f>
        <v>Gabinetes de archivo o accesorios</v>
      </c>
      <c r="C920" s="30" t="str">
        <f>IFERROR(VLOOKUP("UD",'[1]Informacion '!P:Q,2,FALSE),"")</f>
        <v>Unidad</v>
      </c>
      <c r="D920" s="28">
        <v>200</v>
      </c>
      <c r="E920" s="31">
        <v>9500</v>
      </c>
      <c r="F920" s="32">
        <f t="shared" ca="1" si="14"/>
        <v>1900000</v>
      </c>
    </row>
    <row r="921" spans="1:6" x14ac:dyDescent="0.3">
      <c r="A921" s="28" t="s">
        <v>369</v>
      </c>
      <c r="B921" s="29" t="str">
        <f ca="1">IFERROR(INDEX(UNSPSCDes,MATCH(INDIRECT(ADDRESS(ROW(),COLUMN()-1,4)),UNSPSCCode,0)),IF(INDIRECT(ADDRESS(ROW(),COLUMN()-1,4))="46171506","Cajas fuertes",""))</f>
        <v>Cajas fuertes</v>
      </c>
      <c r="C921" s="30" t="str">
        <f>IFERROR(VLOOKUP("UD",'[1]Informacion '!P:Q,2,FALSE),"")</f>
        <v>Unidad</v>
      </c>
      <c r="D921" s="28">
        <v>4</v>
      </c>
      <c r="E921" s="31">
        <v>150000</v>
      </c>
      <c r="F921" s="32">
        <f t="shared" ca="1" si="14"/>
        <v>600000</v>
      </c>
    </row>
    <row r="922" spans="1:6" x14ac:dyDescent="0.3">
      <c r="A922" s="28" t="s">
        <v>370</v>
      </c>
      <c r="B922" s="29" t="str">
        <f ca="1">IFERROR(INDEX(UNSPSCDes,MATCH(INDIRECT(ADDRESS(ROW(),COLUMN()-1,4)),UNSPSCCode,0)),IF(INDIRECT(ADDRESS(ROW(),COLUMN()-1,4))="56101714","Estantes para carpetas de información",""))</f>
        <v>Estantes para carpetas de información</v>
      </c>
      <c r="C922" s="30" t="str">
        <f>IFERROR(VLOOKUP("UD",'[1]Informacion '!P:Q,2,FALSE),"")</f>
        <v>Unidad</v>
      </c>
      <c r="D922" s="28">
        <v>2</v>
      </c>
      <c r="E922" s="31">
        <v>15500</v>
      </c>
      <c r="F922" s="32">
        <f t="shared" ca="1" si="14"/>
        <v>31000</v>
      </c>
    </row>
    <row r="923" spans="1:6" x14ac:dyDescent="0.3">
      <c r="A923" s="28" t="s">
        <v>371</v>
      </c>
      <c r="B923" s="29" t="str">
        <f ca="1">IFERROR(INDEX(UNSPSCDes,MATCH(INDIRECT(ADDRESS(ROW(),COLUMN()-1,4)),UNSPSCCode,0)),IF(INDIRECT(ADDRESS(ROW(),COLUMN()-1,4))="24112405","Armarios",""))</f>
        <v>Armarios</v>
      </c>
      <c r="C923" s="30" t="str">
        <f>IFERROR(VLOOKUP("UD",'[1]Informacion '!P:Q,2,FALSE),"")</f>
        <v>Unidad</v>
      </c>
      <c r="D923" s="28">
        <v>4</v>
      </c>
      <c r="E923" s="31">
        <v>11700</v>
      </c>
      <c r="F923" s="32">
        <f t="shared" ca="1" si="14"/>
        <v>46800</v>
      </c>
    </row>
    <row r="924" spans="1:6" x14ac:dyDescent="0.3">
      <c r="A924" s="28" t="s">
        <v>372</v>
      </c>
      <c r="B924" s="29" t="str">
        <f ca="1">IFERROR(INDEX(UNSPSCDes,MATCH(INDIRECT(ADDRESS(ROW(),COLUMN()-1,4)),UNSPSCCode,0)),IF(INDIRECT(ADDRESS(ROW(),COLUMN()-1,4))="56111503","Paquetes de muebles para ejecutivos modulares",""))</f>
        <v>Paquetes de muebles para ejecutivos modulares</v>
      </c>
      <c r="C924" s="30" t="str">
        <f>IFERROR(VLOOKUP("UD",'[1]Informacion '!P:Q,2,FALSE),"")</f>
        <v>Unidad</v>
      </c>
      <c r="D924" s="28">
        <v>12</v>
      </c>
      <c r="E924" s="31">
        <v>24000</v>
      </c>
      <c r="F924" s="32">
        <f t="shared" ca="1" si="14"/>
        <v>288000</v>
      </c>
    </row>
    <row r="925" spans="1:6" x14ac:dyDescent="0.3">
      <c r="A925" s="28" t="s">
        <v>373</v>
      </c>
      <c r="B925" s="29" t="str">
        <f ca="1">IFERROR(INDEX(UNSPSCDes,MATCH(INDIRECT(ADDRESS(ROW(),COLUMN()-1,4)),UNSPSCCode,0)),IF(INDIRECT(ADDRESS(ROW(),COLUMN()-1,4))="48102001","Sillas para restaurantes",""))</f>
        <v>Sillas para restaurantes</v>
      </c>
      <c r="C925" s="30" t="str">
        <f>IFERROR(VLOOKUP("UD",'[1]Informacion '!P:Q,2,FALSE),"")</f>
        <v>Unidad</v>
      </c>
      <c r="D925" s="28">
        <v>30</v>
      </c>
      <c r="E925" s="31">
        <v>7000</v>
      </c>
      <c r="F925" s="32">
        <f t="shared" ca="1" si="14"/>
        <v>210000</v>
      </c>
    </row>
    <row r="926" spans="1:6" x14ac:dyDescent="0.3">
      <c r="A926" s="28" t="s">
        <v>374</v>
      </c>
      <c r="B926" s="29" t="str">
        <f ca="1">IFERROR(INDEX(UNSPSCDes,MATCH(INDIRECT(ADDRESS(ROW(),COLUMN()-1,4)),UNSPSCCode,0)),IF(INDIRECT(ADDRESS(ROW(),COLUMN()-1,4))="56111511","Paquetes de muebles secretariales modulares",""))</f>
        <v>Paquetes de muebles secretariales modulares</v>
      </c>
      <c r="C926" s="30" t="str">
        <f>IFERROR(VLOOKUP("UD",'[1]Informacion '!P:Q,2,FALSE),"")</f>
        <v>Unidad</v>
      </c>
      <c r="D926" s="28">
        <v>9</v>
      </c>
      <c r="E926" s="31">
        <v>10300</v>
      </c>
      <c r="F926" s="32">
        <f t="shared" ca="1" si="14"/>
        <v>92700</v>
      </c>
    </row>
    <row r="927" spans="1:6" x14ac:dyDescent="0.3">
      <c r="A927" s="28" t="s">
        <v>375</v>
      </c>
      <c r="B927" s="29" t="str">
        <f ca="1">IFERROR(INDEX(UNSPSCDes,MATCH(INDIRECT(ADDRESS(ROW(),COLUMN()-1,4)),UNSPSCCode,0)),IF(INDIRECT(ADDRESS(ROW(),COLUMN()-1,4))="56111509","Paquetes de muebles para técnicos modulares",""))</f>
        <v>Paquetes de muebles para técnicos modulares</v>
      </c>
      <c r="C927" s="30" t="str">
        <f>IFERROR(VLOOKUP("UD",'[1]Informacion '!P:Q,2,FALSE),"")</f>
        <v>Unidad</v>
      </c>
      <c r="D927" s="28">
        <v>98</v>
      </c>
      <c r="E927" s="31">
        <v>7000</v>
      </c>
      <c r="F927" s="32">
        <f t="shared" ca="1" si="14"/>
        <v>686000</v>
      </c>
    </row>
    <row r="928" spans="1:6" x14ac:dyDescent="0.3">
      <c r="A928" s="28" t="s">
        <v>376</v>
      </c>
      <c r="B928" s="29" t="str">
        <f ca="1">IFERROR(INDEX(UNSPSCDes,MATCH(INDIRECT(ADDRESS(ROW(),COLUMN()-1,4)),UNSPSCCode,0)),IF(INDIRECT(ADDRESS(ROW(),COLUMN()-1,4))="56111507","Paquetes de muebles para personal modulares",""))</f>
        <v>Paquetes de muebles para personal modulares</v>
      </c>
      <c r="C928" s="30" t="str">
        <f>IFERROR(VLOOKUP("UD",'[1]Informacion '!P:Q,2,FALSE),"")</f>
        <v>Unidad</v>
      </c>
      <c r="D928" s="28">
        <v>13</v>
      </c>
      <c r="E928" s="31">
        <v>8200</v>
      </c>
      <c r="F928" s="32">
        <f t="shared" ca="1" si="14"/>
        <v>106600</v>
      </c>
    </row>
    <row r="929" spans="1:6" x14ac:dyDescent="0.3">
      <c r="A929" s="28" t="s">
        <v>377</v>
      </c>
      <c r="B929" s="29" t="str">
        <f ca="1">IFERROR(INDEX(UNSPSCDes,MATCH(INDIRECT(ADDRESS(ROW(),COLUMN()-1,4)),UNSPSCCode,0)),IF(INDIRECT(ADDRESS(ROW(),COLUMN()-1,4))="56112103","Sillas para visitantes",""))</f>
        <v>Sillas para visitantes</v>
      </c>
      <c r="C929" s="30" t="str">
        <f>IFERROR(VLOOKUP("UD",'[1]Informacion '!P:Q,2,FALSE),"")</f>
        <v>Unidad</v>
      </c>
      <c r="D929" s="28">
        <v>30</v>
      </c>
      <c r="E929" s="31">
        <v>14900</v>
      </c>
      <c r="F929" s="32">
        <f t="shared" ca="1" si="14"/>
        <v>447000</v>
      </c>
    </row>
    <row r="930" spans="1:6" x14ac:dyDescent="0.3">
      <c r="A930" s="28" t="s">
        <v>378</v>
      </c>
      <c r="B930" s="29" t="str">
        <f ca="1">IFERROR(INDEX(UNSPSCDes,MATCH(INDIRECT(ADDRESS(ROW(),COLUMN()-1,4)),UNSPSCCode,0)),IF(INDIRECT(ADDRESS(ROW(),COLUMN()-1,4))="56112102","Sillas para grupos de trabajo",""))</f>
        <v>Sillas para grupos de trabajo</v>
      </c>
      <c r="C930" s="30" t="str">
        <f>IFERROR(VLOOKUP("UD",'[1]Informacion '!P:Q,2,FALSE),"")</f>
        <v>Unidad</v>
      </c>
      <c r="D930" s="28">
        <v>110</v>
      </c>
      <c r="E930" s="31">
        <v>11000</v>
      </c>
      <c r="F930" s="32">
        <f t="shared" ca="1" si="14"/>
        <v>1210000</v>
      </c>
    </row>
    <row r="931" spans="1:6" x14ac:dyDescent="0.3">
      <c r="A931" s="28" t="s">
        <v>379</v>
      </c>
      <c r="B931" s="29" t="str">
        <f ca="1">IFERROR(INDEX(UNSPSCDes,MATCH(INDIRECT(ADDRESS(ROW(),COLUMN()-1,4)),UNSPSCCode,0)),IF(INDIRECT(ADDRESS(ROW(),COLUMN()-1,4))="44101603","Máquinas trituradoras de papel o accesorios",""))</f>
        <v>Máquinas trituradoras de papel o accesorios</v>
      </c>
      <c r="C931" s="30" t="str">
        <f>IFERROR(VLOOKUP("UD",'[1]Informacion '!P:Q,2,FALSE),"")</f>
        <v>Unidad</v>
      </c>
      <c r="D931" s="28">
        <v>17</v>
      </c>
      <c r="E931" s="31">
        <v>1300</v>
      </c>
      <c r="F931" s="32">
        <f t="shared" ca="1" si="14"/>
        <v>22100</v>
      </c>
    </row>
    <row r="932" spans="1:6" x14ac:dyDescent="0.3">
      <c r="A932" s="28" t="s">
        <v>380</v>
      </c>
      <c r="B932" s="29" t="str">
        <f ca="1">IFERROR(INDEX(UNSPSCDes,MATCH(INDIRECT(ADDRESS(ROW(),COLUMN()-1,4)),UNSPSCCode,0)),IF(INDIRECT(ADDRESS(ROW(),COLUMN()-1,4))="56112104","Sillas para ejecutivos",""))</f>
        <v>Sillas para ejecutivos</v>
      </c>
      <c r="C932" s="30" t="str">
        <f>IFERROR(VLOOKUP("UD",'[1]Informacion '!P:Q,2,FALSE),"")</f>
        <v>Unidad</v>
      </c>
      <c r="D932" s="28">
        <v>14</v>
      </c>
      <c r="E932" s="31">
        <v>28000</v>
      </c>
      <c r="F932" s="32">
        <f t="shared" ca="1" si="14"/>
        <v>392000</v>
      </c>
    </row>
    <row r="933" spans="1:6" x14ac:dyDescent="0.3">
      <c r="A933" s="28" t="s">
        <v>381</v>
      </c>
      <c r="B933" s="29" t="str">
        <f ca="1">IFERROR(INDEX(UNSPSCDes,MATCH(INDIRECT(ADDRESS(ROW(),COLUMN()-1,4)),UNSPSCCode,0)),IF(INDIRECT(ADDRESS(ROW(),COLUMN()-1,4))="56112105","Sillas para descansar",""))</f>
        <v>Sillas para descansar</v>
      </c>
      <c r="C933" s="30" t="str">
        <f>IFERROR(VLOOKUP("UD",'[1]Informacion '!P:Q,2,FALSE),"")</f>
        <v>Unidad</v>
      </c>
      <c r="D933" s="28">
        <v>8</v>
      </c>
      <c r="E933" s="31">
        <v>24600</v>
      </c>
      <c r="F933" s="32">
        <f t="shared" ca="1" si="14"/>
        <v>196800</v>
      </c>
    </row>
    <row r="934" spans="1:6" x14ac:dyDescent="0.3">
      <c r="A934" s="28" t="s">
        <v>382</v>
      </c>
      <c r="B934" s="29" t="str">
        <f ca="1">IFERROR(INDEX(UNSPSCDes,MATCH(INDIRECT(ADDRESS(ROW(),COLUMN()-1,4)),UNSPSCCode,0)),IF(INDIRECT(ADDRESS(ROW(),COLUMN()-1,4))="44111511","Sistemas de despliegue o sus accesorios",""))</f>
        <v>Sistemas de despliegue o sus accesorios</v>
      </c>
      <c r="C934" s="30" t="str">
        <f>IFERROR(VLOOKUP("UD",'[1]Informacion '!P:Q,2,FALSE),"")</f>
        <v>Unidad</v>
      </c>
      <c r="D934" s="28">
        <v>18</v>
      </c>
      <c r="E934" s="31">
        <v>9800</v>
      </c>
      <c r="F934" s="32">
        <f t="shared" ca="1" si="14"/>
        <v>176400</v>
      </c>
    </row>
    <row r="935" spans="1:6" x14ac:dyDescent="0.3">
      <c r="A935" s="19"/>
      <c r="B935" s="19"/>
      <c r="C935" s="19"/>
      <c r="D935" s="19"/>
      <c r="E935" s="33" t="s">
        <v>48</v>
      </c>
      <c r="F935" s="34">
        <f ca="1">SUM(Table54[MONTO TOTAL ESTIMADO])</f>
        <v>8883300</v>
      </c>
    </row>
    <row r="936" spans="1:6" ht="15" thickBot="1" x14ac:dyDescent="0.35">
      <c r="A936" s="19"/>
      <c r="B936" s="19"/>
      <c r="C936" s="19"/>
      <c r="D936" s="19"/>
      <c r="E936" s="19"/>
      <c r="F936" s="19"/>
    </row>
    <row r="937" spans="1:6" ht="21" thickBot="1" x14ac:dyDescent="0.35">
      <c r="A937" s="20" t="s">
        <v>19</v>
      </c>
      <c r="B937" s="20" t="s">
        <v>20</v>
      </c>
      <c r="C937" s="20" t="s">
        <v>21</v>
      </c>
      <c r="D937" s="20" t="s">
        <v>22</v>
      </c>
      <c r="E937" s="20" t="s">
        <v>23</v>
      </c>
      <c r="F937" s="20" t="s">
        <v>24</v>
      </c>
    </row>
    <row r="938" spans="1:6" ht="15" thickBot="1" x14ac:dyDescent="0.35">
      <c r="A938" s="21" t="s">
        <v>383</v>
      </c>
      <c r="B938" s="21" t="s">
        <v>384</v>
      </c>
      <c r="C938" s="21" t="s">
        <v>60</v>
      </c>
      <c r="D938" s="21" t="s">
        <v>61</v>
      </c>
      <c r="E938" s="21" t="s">
        <v>29</v>
      </c>
      <c r="F938" s="21" t="s">
        <v>18</v>
      </c>
    </row>
    <row r="939" spans="1:6" ht="15" thickBot="1" x14ac:dyDescent="0.35">
      <c r="A939" s="41" t="s">
        <v>30</v>
      </c>
      <c r="B939" s="22" t="s">
        <v>31</v>
      </c>
      <c r="C939" s="23">
        <v>45000</v>
      </c>
      <c r="D939" s="41" t="s">
        <v>32</v>
      </c>
      <c r="E939" s="24" t="s">
        <v>33</v>
      </c>
      <c r="F939" s="25" t="s">
        <v>34</v>
      </c>
    </row>
    <row r="940" spans="1:6" ht="15" thickBot="1" x14ac:dyDescent="0.35">
      <c r="A940" s="42"/>
      <c r="B940" s="22" t="s">
        <v>35</v>
      </c>
      <c r="C940" s="26">
        <f>IF(C939="","",IF(AND(MONTH(C939)&gt;=1,MONTH(C939)&lt;=3),1,IF(AND(MONTH(C939)&gt;=4,MONTH(C939)&lt;=6),2,IF(AND(MONTH(C939)&gt;=7,MONTH(C939)&lt;=9),3,4))))</f>
        <v>1</v>
      </c>
      <c r="D940" s="42"/>
      <c r="E940" s="24" t="s">
        <v>36</v>
      </c>
      <c r="F940" s="25" t="s">
        <v>37</v>
      </c>
    </row>
    <row r="941" spans="1:6" ht="15" thickBot="1" x14ac:dyDescent="0.35">
      <c r="A941" s="42"/>
      <c r="B941" s="22" t="s">
        <v>38</v>
      </c>
      <c r="C941" s="23">
        <v>45031</v>
      </c>
      <c r="D941" s="42"/>
      <c r="E941" s="24" t="s">
        <v>39</v>
      </c>
      <c r="F941" s="25" t="s">
        <v>37</v>
      </c>
    </row>
    <row r="942" spans="1:6" ht="15" thickBot="1" x14ac:dyDescent="0.35">
      <c r="A942" s="42"/>
      <c r="B942" s="22" t="s">
        <v>35</v>
      </c>
      <c r="C942" s="26">
        <f>IF(C941="","",IF(AND(MONTH(C941)&gt;=1,MONTH(C941)&lt;=3),1,IF(AND(MONTH(C941)&gt;=4,MONTH(C941)&lt;=6),2,IF(AND(MONTH(C941)&gt;=7,MONTH(C941)&lt;=9),3,4))))</f>
        <v>2</v>
      </c>
      <c r="D942" s="42"/>
      <c r="E942" s="24" t="s">
        <v>40</v>
      </c>
      <c r="F942" s="25"/>
    </row>
    <row r="943" spans="1:6" ht="15" thickBot="1" x14ac:dyDescent="0.35">
      <c r="A943" s="19"/>
      <c r="B943" s="19"/>
      <c r="C943" s="19"/>
      <c r="D943" s="19"/>
      <c r="E943" s="19"/>
      <c r="F943" s="19"/>
    </row>
    <row r="944" spans="1:6" ht="15" thickBot="1" x14ac:dyDescent="0.35">
      <c r="A944" s="27" t="s">
        <v>41</v>
      </c>
      <c r="B944" s="27" t="s">
        <v>42</v>
      </c>
      <c r="C944" s="27" t="s">
        <v>43</v>
      </c>
      <c r="D944" s="27" t="s">
        <v>44</v>
      </c>
      <c r="E944" s="27" t="s">
        <v>45</v>
      </c>
      <c r="F944" s="27" t="s">
        <v>46</v>
      </c>
    </row>
    <row r="945" spans="1:6" x14ac:dyDescent="0.3">
      <c r="A945" s="28" t="s">
        <v>385</v>
      </c>
      <c r="B945" s="29" t="str">
        <f ca="1">IFERROR(INDEX(UNSPSCDes,MATCH(INDIRECT(ADDRESS(ROW(),COLUMN()-1,4)),UNSPSCCode,0)),IF(INDIRECT(ADDRESS(ROW(),COLUMN()-1,4))="52141525","Hornillas para uso doméstico",""))</f>
        <v>Hornillas para uso doméstico</v>
      </c>
      <c r="C945" s="30" t="str">
        <f>IFERROR(VLOOKUP("UD",'[1]Informacion '!P:Q,2,FALSE),"")</f>
        <v>Unidad</v>
      </c>
      <c r="D945" s="28">
        <v>10</v>
      </c>
      <c r="E945" s="31">
        <v>4500</v>
      </c>
      <c r="F945" s="32">
        <f t="shared" ref="F945:F954" ca="1" si="15">INDIRECT(ADDRESS(ROW(),COLUMN()-2,4))*INDIRECT(ADDRESS(ROW(),COLUMN()-1,4))</f>
        <v>45000</v>
      </c>
    </row>
    <row r="946" spans="1:6" x14ac:dyDescent="0.3">
      <c r="A946" s="28" t="s">
        <v>386</v>
      </c>
      <c r="B946" s="29" t="str">
        <f ca="1">IFERROR(INDEX(UNSPSCDes,MATCH(INDIRECT(ADDRESS(ROW(),COLUMN()-1,4)),UNSPSCCode,0)),IF(INDIRECT(ADDRESS(ROW(),COLUMN()-1,4))="48101516","Hornos microondas para uso comercial",""))</f>
        <v>Hornos microondas para uso comercial</v>
      </c>
      <c r="C946" s="30" t="str">
        <f>IFERROR(VLOOKUP("UD",'[1]Informacion '!P:Q,2,FALSE),"")</f>
        <v>Unidad</v>
      </c>
      <c r="D946" s="28">
        <v>10</v>
      </c>
      <c r="E946" s="31">
        <v>9955</v>
      </c>
      <c r="F946" s="32">
        <f t="shared" ca="1" si="15"/>
        <v>99550</v>
      </c>
    </row>
    <row r="947" spans="1:6" x14ac:dyDescent="0.3">
      <c r="A947" s="28" t="s">
        <v>387</v>
      </c>
      <c r="B947" s="29" t="str">
        <f ca="1">IFERROR(INDEX(UNSPSCDes,MATCH(INDIRECT(ADDRESS(ROW(),COLUMN()-1,4)),UNSPSCCode,0)),IF(INDIRECT(ADDRESS(ROW(),COLUMN()-1,4))="52141501","Neveras para uso doméstico",""))</f>
        <v>Neveras para uso doméstico</v>
      </c>
      <c r="C947" s="30" t="str">
        <f>IFERROR(VLOOKUP("UD",'[1]Informacion '!P:Q,2,FALSE),"")</f>
        <v>Unidad</v>
      </c>
      <c r="D947" s="28">
        <v>10</v>
      </c>
      <c r="E947" s="31">
        <v>16500</v>
      </c>
      <c r="F947" s="32">
        <f t="shared" ca="1" si="15"/>
        <v>165000</v>
      </c>
    </row>
    <row r="948" spans="1:6" x14ac:dyDescent="0.3">
      <c r="A948" s="28" t="s">
        <v>387</v>
      </c>
      <c r="B948" s="29" t="str">
        <f ca="1">IFERROR(INDEX(UNSPSCDes,MATCH(INDIRECT(ADDRESS(ROW(),COLUMN()-1,4)),UNSPSCCode,0)),IF(INDIRECT(ADDRESS(ROW(),COLUMN()-1,4))="52141501","Neveras para uso doméstico",""))</f>
        <v>Neveras para uso doméstico</v>
      </c>
      <c r="C948" s="30" t="str">
        <f>IFERROR(VLOOKUP("UD",'[1]Informacion '!P:Q,2,FALSE),"")</f>
        <v>Unidad</v>
      </c>
      <c r="D948" s="28">
        <v>4</v>
      </c>
      <c r="E948" s="31">
        <v>610000</v>
      </c>
      <c r="F948" s="32">
        <f t="shared" ca="1" si="15"/>
        <v>2440000</v>
      </c>
    </row>
    <row r="949" spans="1:6" x14ac:dyDescent="0.3">
      <c r="A949" s="28" t="s">
        <v>388</v>
      </c>
      <c r="B949" s="29" t="str">
        <f ca="1">IFERROR(INDEX(UNSPSCDes,MATCH(INDIRECT(ADDRESS(ROW(),COLUMN()-1,4)),UNSPSCCode,0)),IF(INDIRECT(ADDRESS(ROW(),COLUMN()-1,4))="48101525","Tostadoras para uso comercial",""))</f>
        <v>Tostadoras para uso comercial</v>
      </c>
      <c r="C949" s="30" t="str">
        <f>IFERROR(VLOOKUP("UD",'[1]Informacion '!P:Q,2,FALSE),"")</f>
        <v>Unidad</v>
      </c>
      <c r="D949" s="28">
        <v>6</v>
      </c>
      <c r="E949" s="31">
        <v>5500</v>
      </c>
      <c r="F949" s="32">
        <f t="shared" ca="1" si="15"/>
        <v>33000</v>
      </c>
    </row>
    <row r="950" spans="1:6" x14ac:dyDescent="0.3">
      <c r="A950" s="28" t="s">
        <v>389</v>
      </c>
      <c r="B950" s="29" t="str">
        <f ca="1">IFERROR(INDEX(UNSPSCDes,MATCH(INDIRECT(ADDRESS(ROW(),COLUMN()-1,4)),UNSPSCCode,0)),IF(INDIRECT(ADDRESS(ROW(),COLUMN()-1,4))="48101711","Dispensadores de agua embotellada o accesorios",""))</f>
        <v>Dispensadores de agua embotellada o accesorios</v>
      </c>
      <c r="C950" s="30" t="str">
        <f>IFERROR(VLOOKUP("UD",'[1]Informacion '!P:Q,2,FALSE),"")</f>
        <v>Unidad</v>
      </c>
      <c r="D950" s="28">
        <v>10</v>
      </c>
      <c r="E950" s="31">
        <v>15000</v>
      </c>
      <c r="F950" s="32">
        <f t="shared" ca="1" si="15"/>
        <v>150000</v>
      </c>
    </row>
    <row r="951" spans="1:6" x14ac:dyDescent="0.3">
      <c r="A951" s="28" t="s">
        <v>390</v>
      </c>
      <c r="B951" s="29" t="str">
        <f ca="1">IFERROR(INDEX(UNSPSCDes,MATCH(INDIRECT(ADDRESS(ROW(),COLUMN()-1,4)),UNSPSCCode,0)),IF(INDIRECT(ADDRESS(ROW(),COLUMN()-1,4))="52141524","Licuadoras para uso doméstico",""))</f>
        <v>Licuadoras para uso doméstico</v>
      </c>
      <c r="C951" s="30" t="str">
        <f>IFERROR(VLOOKUP("UD",'[1]Informacion '!P:Q,2,FALSE),"")</f>
        <v>Unidad</v>
      </c>
      <c r="D951" s="28">
        <v>6</v>
      </c>
      <c r="E951" s="31">
        <v>12200</v>
      </c>
      <c r="F951" s="32">
        <f t="shared" ca="1" si="15"/>
        <v>73200</v>
      </c>
    </row>
    <row r="952" spans="1:6" x14ac:dyDescent="0.3">
      <c r="A952" s="28" t="s">
        <v>391</v>
      </c>
      <c r="B952" s="29" t="str">
        <f ca="1">IFERROR(INDEX(UNSPSCDes,MATCH(INDIRECT(ADDRESS(ROW(),COLUMN()-1,4)),UNSPSCCode,0)),IF(INDIRECT(ADDRESS(ROW(),COLUMN()-1,4))="52141510","Aire acondicionado portátil para uso doméstico",""))</f>
        <v>Aire acondicionado portátil para uso doméstico</v>
      </c>
      <c r="C952" s="30" t="str">
        <f>IFERROR(VLOOKUP("UD",'[1]Informacion '!P:Q,2,FALSE),"")</f>
        <v>Unidad</v>
      </c>
      <c r="D952" s="28">
        <v>10</v>
      </c>
      <c r="E952" s="31">
        <v>32000</v>
      </c>
      <c r="F952" s="32">
        <f t="shared" ca="1" si="15"/>
        <v>320000</v>
      </c>
    </row>
    <row r="953" spans="1:6" x14ac:dyDescent="0.3">
      <c r="A953" s="28" t="s">
        <v>387</v>
      </c>
      <c r="B953" s="29" t="str">
        <f ca="1">IFERROR(INDEX(UNSPSCDes,MATCH(INDIRECT(ADDRESS(ROW(),COLUMN()-1,4)),UNSPSCCode,0)),IF(INDIRECT(ADDRESS(ROW(),COLUMN()-1,4))="52141501","Neveras para uso doméstico",""))</f>
        <v>Neveras para uso doméstico</v>
      </c>
      <c r="C953" s="30" t="str">
        <f>IFERROR(VLOOKUP("UD",'[1]Informacion '!P:Q,2,FALSE),"")</f>
        <v>Unidad</v>
      </c>
      <c r="D953" s="28">
        <v>4</v>
      </c>
      <c r="E953" s="31">
        <v>61000</v>
      </c>
      <c r="F953" s="32">
        <f t="shared" ca="1" si="15"/>
        <v>244000</v>
      </c>
    </row>
    <row r="954" spans="1:6" x14ac:dyDescent="0.3">
      <c r="A954" s="28" t="s">
        <v>392</v>
      </c>
      <c r="B954" s="29" t="str">
        <f ca="1">IFERROR(INDEX(UNSPSCDes,MATCH(INDIRECT(ADDRESS(ROW(),COLUMN()-1,4)),UNSPSCCode,0)),IF(INDIRECT(ADDRESS(ROW(),COLUMN()-1,4))="52161505","Televisores",""))</f>
        <v>Televisores</v>
      </c>
      <c r="C954" s="30" t="str">
        <f>IFERROR(VLOOKUP("UD",'[1]Informacion '!P:Q,2,FALSE),"")</f>
        <v>Unidad</v>
      </c>
      <c r="D954" s="28">
        <v>12</v>
      </c>
      <c r="E954" s="31">
        <v>65000</v>
      </c>
      <c r="F954" s="32">
        <f t="shared" ca="1" si="15"/>
        <v>780000</v>
      </c>
    </row>
    <row r="955" spans="1:6" x14ac:dyDescent="0.3">
      <c r="A955" s="19"/>
      <c r="B955" s="19"/>
      <c r="C955" s="19"/>
      <c r="D955" s="19"/>
      <c r="E955" s="33" t="s">
        <v>48</v>
      </c>
      <c r="F955" s="34">
        <f ca="1">SUM(Table55[MONTO TOTAL ESTIMADO])</f>
        <v>4349750</v>
      </c>
    </row>
    <row r="956" spans="1:6" ht="15" thickBot="1" x14ac:dyDescent="0.35">
      <c r="A956" s="19"/>
      <c r="B956" s="19"/>
      <c r="C956" s="19"/>
      <c r="D956" s="19"/>
      <c r="E956" s="19"/>
      <c r="F956" s="19"/>
    </row>
    <row r="957" spans="1:6" ht="21" thickBot="1" x14ac:dyDescent="0.35">
      <c r="A957" s="20" t="s">
        <v>19</v>
      </c>
      <c r="B957" s="20" t="s">
        <v>20</v>
      </c>
      <c r="C957" s="20" t="s">
        <v>21</v>
      </c>
      <c r="D957" s="20" t="s">
        <v>22</v>
      </c>
      <c r="E957" s="20" t="s">
        <v>23</v>
      </c>
      <c r="F957" s="20" t="s">
        <v>24</v>
      </c>
    </row>
    <row r="958" spans="1:6" ht="15" thickBot="1" x14ac:dyDescent="0.35">
      <c r="A958" s="21" t="s">
        <v>393</v>
      </c>
      <c r="B958" s="21" t="s">
        <v>394</v>
      </c>
      <c r="C958" s="21" t="s">
        <v>60</v>
      </c>
      <c r="D958" s="21" t="s">
        <v>68</v>
      </c>
      <c r="E958" s="21" t="s">
        <v>29</v>
      </c>
      <c r="F958" s="21" t="s">
        <v>18</v>
      </c>
    </row>
    <row r="959" spans="1:6" ht="15" thickBot="1" x14ac:dyDescent="0.35">
      <c r="A959" s="41" t="s">
        <v>30</v>
      </c>
      <c r="B959" s="22" t="s">
        <v>31</v>
      </c>
      <c r="C959" s="23">
        <v>44972</v>
      </c>
      <c r="D959" s="41" t="s">
        <v>32</v>
      </c>
      <c r="E959" s="24" t="s">
        <v>33</v>
      </c>
      <c r="F959" s="25" t="s">
        <v>34</v>
      </c>
    </row>
    <row r="960" spans="1:6" ht="15" thickBot="1" x14ac:dyDescent="0.35">
      <c r="A960" s="42"/>
      <c r="B960" s="22" t="s">
        <v>35</v>
      </c>
      <c r="C960" s="26">
        <f>IF(C959="","",IF(AND(MONTH(C959)&gt;=1,MONTH(C959)&lt;=3),1,IF(AND(MONTH(C959)&gt;=4,MONTH(C959)&lt;=6),2,IF(AND(MONTH(C959)&gt;=7,MONTH(C959)&lt;=9),3,4))))</f>
        <v>1</v>
      </c>
      <c r="D960" s="42"/>
      <c r="E960" s="24" t="s">
        <v>36</v>
      </c>
      <c r="F960" s="25" t="s">
        <v>37</v>
      </c>
    </row>
    <row r="961" spans="1:6" ht="15" thickBot="1" x14ac:dyDescent="0.35">
      <c r="A961" s="42"/>
      <c r="B961" s="22" t="s">
        <v>38</v>
      </c>
      <c r="C961" s="23">
        <v>45061</v>
      </c>
      <c r="D961" s="42"/>
      <c r="E961" s="24" t="s">
        <v>39</v>
      </c>
      <c r="F961" s="25" t="s">
        <v>37</v>
      </c>
    </row>
    <row r="962" spans="1:6" ht="15" thickBot="1" x14ac:dyDescent="0.35">
      <c r="A962" s="42"/>
      <c r="B962" s="22" t="s">
        <v>35</v>
      </c>
      <c r="C962" s="26">
        <f>IF(C961="","",IF(AND(MONTH(C961)&gt;=1,MONTH(C961)&lt;=3),1,IF(AND(MONTH(C961)&gt;=4,MONTH(C961)&lt;=6),2,IF(AND(MONTH(C961)&gt;=7,MONTH(C961)&lt;=9),3,4))))</f>
        <v>2</v>
      </c>
      <c r="D962" s="42"/>
      <c r="E962" s="24" t="s">
        <v>40</v>
      </c>
      <c r="F962" s="25"/>
    </row>
    <row r="963" spans="1:6" ht="15" thickBot="1" x14ac:dyDescent="0.35">
      <c r="A963" s="19"/>
      <c r="B963" s="19"/>
      <c r="C963" s="19"/>
      <c r="D963" s="19"/>
      <c r="E963" s="19"/>
      <c r="F963" s="19"/>
    </row>
    <row r="964" spans="1:6" ht="15" thickBot="1" x14ac:dyDescent="0.35">
      <c r="A964" s="27" t="s">
        <v>41</v>
      </c>
      <c r="B964" s="27" t="s">
        <v>42</v>
      </c>
      <c r="C964" s="27" t="s">
        <v>43</v>
      </c>
      <c r="D964" s="27" t="s">
        <v>44</v>
      </c>
      <c r="E964" s="27" t="s">
        <v>45</v>
      </c>
      <c r="F964" s="27" t="s">
        <v>46</v>
      </c>
    </row>
    <row r="965" spans="1:6" x14ac:dyDescent="0.3">
      <c r="A965" s="28" t="s">
        <v>395</v>
      </c>
      <c r="B965" s="29" t="str">
        <f ca="1">IFERROR(INDEX(UNSPSCDes,MATCH(INDIRECT(ADDRESS(ROW(),COLUMN()-1,4)),UNSPSCCode,0)),IF(INDIRECT(ADDRESS(ROW(),COLUMN()-1,4))="43222501","Equipo de seguridad de red cortafuegos (firewall)",""))</f>
        <v>Equipo de seguridad de red cortafuegos (firewall)</v>
      </c>
      <c r="C965" s="30" t="str">
        <f>IFERROR(VLOOKUP("UD",'[1]Informacion '!P:Q,2,FALSE),"")</f>
        <v>Unidad</v>
      </c>
      <c r="D965" s="28">
        <v>2</v>
      </c>
      <c r="E965" s="31">
        <v>307980</v>
      </c>
      <c r="F965" s="32">
        <f t="shared" ref="F965:F978" ca="1" si="16">INDIRECT(ADDRESS(ROW(),COLUMN()-2,4))*INDIRECT(ADDRESS(ROW(),COLUMN()-1,4))</f>
        <v>615960</v>
      </c>
    </row>
    <row r="966" spans="1:6" x14ac:dyDescent="0.3">
      <c r="A966" s="28" t="s">
        <v>396</v>
      </c>
      <c r="B966" s="29" t="str">
        <f ca="1">IFERROR(INDEX(UNSPSCDes,MATCH(INDIRECT(ADDRESS(ROW(),COLUMN()-1,4)),UNSPSCCode,0)),IF(INDIRECT(ADDRESS(ROW(),COLUMN()-1,4))="43202105","Gabinetes para medios múltiples",""))</f>
        <v>Gabinetes para medios múltiples</v>
      </c>
      <c r="C966" s="30" t="str">
        <f>IFERROR(VLOOKUP("UD",'[1]Informacion '!P:Q,2,FALSE),"")</f>
        <v>Unidad</v>
      </c>
      <c r="D966" s="28">
        <v>1</v>
      </c>
      <c r="E966" s="31">
        <v>120360</v>
      </c>
      <c r="F966" s="32">
        <f t="shared" ca="1" si="16"/>
        <v>120360</v>
      </c>
    </row>
    <row r="967" spans="1:6" x14ac:dyDescent="0.3">
      <c r="A967" s="28" t="s">
        <v>397</v>
      </c>
      <c r="B967" s="29" t="str">
        <f ca="1">IFERROR(INDEX(UNSPSCDes,MATCH(INDIRECT(ADDRESS(ROW(),COLUMN()-1,4)),UNSPSCCode,0)),IF(INDIRECT(ADDRESS(ROW(),COLUMN()-1,4))="43211601","Cajas de interruptores de computador",""))</f>
        <v>Cajas de interruptores de computador</v>
      </c>
      <c r="C967" s="30" t="str">
        <f>IFERROR(VLOOKUP("PAQ",'[1]Informacion '!P:Q,2,FALSE),"")</f>
        <v>Paquete</v>
      </c>
      <c r="D967" s="28">
        <v>2</v>
      </c>
      <c r="E967" s="31">
        <v>58728</v>
      </c>
      <c r="F967" s="32">
        <f t="shared" ca="1" si="16"/>
        <v>117456</v>
      </c>
    </row>
    <row r="968" spans="1:6" x14ac:dyDescent="0.3">
      <c r="A968" s="28" t="s">
        <v>398</v>
      </c>
      <c r="B968" s="29" t="str">
        <f ca="1">IFERROR(INDEX(UNSPSCDes,MATCH(INDIRECT(ADDRESS(ROW(),COLUMN()-1,4)),UNSPSCCode,0)),IF(INDIRECT(ADDRESS(ROW(),COLUMN()-1,4))="43211507","Computadores de escritorio",""))</f>
        <v>Computadores de escritorio</v>
      </c>
      <c r="C968" s="30" t="str">
        <f>IFERROR(VLOOKUP("UD",'[1]Informacion '!P:Q,2,FALSE),"")</f>
        <v>Unidad</v>
      </c>
      <c r="D968" s="28">
        <v>90</v>
      </c>
      <c r="E968" s="31">
        <v>92000</v>
      </c>
      <c r="F968" s="32">
        <f t="shared" ca="1" si="16"/>
        <v>8280000</v>
      </c>
    </row>
    <row r="969" spans="1:6" x14ac:dyDescent="0.3">
      <c r="A969" s="28" t="s">
        <v>399</v>
      </c>
      <c r="B969" s="29" t="str">
        <f ca="1">IFERROR(INDEX(UNSPSCDes,MATCH(INDIRECT(ADDRESS(ROW(),COLUMN()-1,4)),UNSPSCCode,0)),IF(INDIRECT(ADDRESS(ROW(),COLUMN()-1,4))="43211508","Computadores personales",""))</f>
        <v>Computadores personales</v>
      </c>
      <c r="C969" s="30" t="str">
        <f>IFERROR(VLOOKUP("UD",'[1]Informacion '!P:Q,2,FALSE),"")</f>
        <v>Unidad</v>
      </c>
      <c r="D969" s="28">
        <v>20</v>
      </c>
      <c r="E969" s="31">
        <v>65000</v>
      </c>
      <c r="F969" s="32">
        <f t="shared" ca="1" si="16"/>
        <v>1300000</v>
      </c>
    </row>
    <row r="970" spans="1:6" x14ac:dyDescent="0.3">
      <c r="A970" s="28" t="s">
        <v>400</v>
      </c>
      <c r="B970" s="29" t="str">
        <f ca="1">IFERROR(INDEX(UNSPSCDes,MATCH(INDIRECT(ADDRESS(ROW(),COLUMN()-1,4)),UNSPSCCode,0)),IF(INDIRECT(ADDRESS(ROW(),COLUMN()-1,4))="43211509","Computadores de tableta",""))</f>
        <v>Computadores de tableta</v>
      </c>
      <c r="C970" s="30" t="str">
        <f>IFERROR(VLOOKUP("UD",'[1]Informacion '!P:Q,2,FALSE),"")</f>
        <v>Unidad</v>
      </c>
      <c r="D970" s="28">
        <v>20</v>
      </c>
      <c r="E970" s="31">
        <v>17505.582999999999</v>
      </c>
      <c r="F970" s="32">
        <f t="shared" ca="1" si="16"/>
        <v>350111.66</v>
      </c>
    </row>
    <row r="971" spans="1:6" x14ac:dyDescent="0.3">
      <c r="A971" s="28" t="s">
        <v>401</v>
      </c>
      <c r="B971" s="29" t="str">
        <f ca="1">IFERROR(INDEX(UNSPSCDes,MATCH(INDIRECT(ADDRESS(ROW(),COLUMN()-1,4)),UNSPSCCode,0)),IF(INDIRECT(ADDRESS(ROW(),COLUMN()-1,4))="43211603","Replicadores de puertos",""))</f>
        <v>Replicadores de puertos</v>
      </c>
      <c r="C971" s="30" t="str">
        <f>IFERROR(VLOOKUP("PAQ",'[1]Informacion '!P:Q,2,FALSE),"")</f>
        <v>Paquete</v>
      </c>
      <c r="D971" s="28">
        <v>1</v>
      </c>
      <c r="E971" s="31">
        <v>778800</v>
      </c>
      <c r="F971" s="32">
        <f t="shared" ca="1" si="16"/>
        <v>778800</v>
      </c>
    </row>
    <row r="972" spans="1:6" x14ac:dyDescent="0.3">
      <c r="A972" s="28" t="s">
        <v>399</v>
      </c>
      <c r="B972" s="29" t="str">
        <f ca="1">IFERROR(INDEX(UNSPSCDes,MATCH(INDIRECT(ADDRESS(ROW(),COLUMN()-1,4)),UNSPSCCode,0)),IF(INDIRECT(ADDRESS(ROW(),COLUMN()-1,4))="43211508","Computadores personales",""))</f>
        <v>Computadores personales</v>
      </c>
      <c r="C972" s="30" t="str">
        <f>IFERROR(VLOOKUP("UD",'[1]Informacion '!P:Q,2,FALSE),"")</f>
        <v>Unidad</v>
      </c>
      <c r="D972" s="28">
        <v>20</v>
      </c>
      <c r="E972" s="31">
        <v>97800</v>
      </c>
      <c r="F972" s="32">
        <f t="shared" ca="1" si="16"/>
        <v>1956000</v>
      </c>
    </row>
    <row r="973" spans="1:6" x14ac:dyDescent="0.3">
      <c r="A973" s="28" t="s">
        <v>402</v>
      </c>
      <c r="B973" s="29" t="str">
        <f ca="1">IFERROR(INDEX(UNSPSCDes,MATCH(INDIRECT(ADDRESS(ROW(),COLUMN()-1,4)),UNSPSCCode,0)),IF(INDIRECT(ADDRESS(ROW(),COLUMN()-1,4))="43212108","Impresoras de cinta térmica",""))</f>
        <v>Impresoras de cinta térmica</v>
      </c>
      <c r="C973" s="30" t="str">
        <f>IFERROR(VLOOKUP("PAQ",'[1]Informacion '!P:Q,2,FALSE),"")</f>
        <v>Paquete</v>
      </c>
      <c r="D973" s="28">
        <v>1</v>
      </c>
      <c r="E973" s="31">
        <v>130000</v>
      </c>
      <c r="F973" s="32">
        <f t="shared" ca="1" si="16"/>
        <v>130000</v>
      </c>
    </row>
    <row r="974" spans="1:6" x14ac:dyDescent="0.3">
      <c r="A974" s="28" t="s">
        <v>403</v>
      </c>
      <c r="B974" s="29" t="str">
        <f ca="1">IFERROR(INDEX(UNSPSCDes,MATCH(INDIRECT(ADDRESS(ROW(),COLUMN()-1,4)),UNSPSCCode,0)),IF(INDIRECT(ADDRESS(ROW(),COLUMN()-1,4))="43212110","Impresoras de múltiples funciones",""))</f>
        <v>Impresoras de múltiples funciones</v>
      </c>
      <c r="C974" s="30" t="str">
        <f>IFERROR(VLOOKUP("UD",'[1]Informacion '!P:Q,2,FALSE),"")</f>
        <v>Unidad</v>
      </c>
      <c r="D974" s="28">
        <v>7</v>
      </c>
      <c r="E974" s="31">
        <v>98530</v>
      </c>
      <c r="F974" s="32">
        <f t="shared" ca="1" si="16"/>
        <v>689710</v>
      </c>
    </row>
    <row r="975" spans="1:6" x14ac:dyDescent="0.3">
      <c r="A975" s="28" t="s">
        <v>404</v>
      </c>
      <c r="B975" s="29" t="str">
        <f ca="1">IFERROR(INDEX(UNSPSCDes,MATCH(INDIRECT(ADDRESS(ROW(),COLUMN()-1,4)),UNSPSCCode,0)),IF(INDIRECT(ADDRESS(ROW(),COLUMN()-1,4))="43211708","Mouse o bola de seguimiento para computador",""))</f>
        <v>Mouse o bola de seguimiento para computador</v>
      </c>
      <c r="C975" s="30" t="str">
        <f>IFERROR(VLOOKUP("UD",'[1]Informacion '!P:Q,2,FALSE),"")</f>
        <v>Unidad</v>
      </c>
      <c r="D975" s="28">
        <v>200</v>
      </c>
      <c r="E975" s="31">
        <v>650</v>
      </c>
      <c r="F975" s="32">
        <f t="shared" ca="1" si="16"/>
        <v>130000</v>
      </c>
    </row>
    <row r="976" spans="1:6" x14ac:dyDescent="0.3">
      <c r="A976" s="28" t="s">
        <v>405</v>
      </c>
      <c r="B976" s="29" t="str">
        <f ca="1">IFERROR(INDEX(UNSPSCDes,MATCH(INDIRECT(ADDRESS(ROW(),COLUMN()-1,4)),UNSPSCCode,0)),IF(INDIRECT(ADDRESS(ROW(),COLUMN()-1,4))="43201803","Unidades de disco duro",""))</f>
        <v>Unidades de disco duro</v>
      </c>
      <c r="C976" s="30" t="str">
        <f>IFERROR(VLOOKUP("UD",'[1]Informacion '!P:Q,2,FALSE),"")</f>
        <v>Unidad</v>
      </c>
      <c r="D976" s="28">
        <v>10</v>
      </c>
      <c r="E976" s="31">
        <v>3500</v>
      </c>
      <c r="F976" s="32">
        <f t="shared" ca="1" si="16"/>
        <v>35000</v>
      </c>
    </row>
    <row r="977" spans="1:6" x14ac:dyDescent="0.3">
      <c r="A977" s="28" t="s">
        <v>406</v>
      </c>
      <c r="B977" s="29" t="str">
        <f ca="1">IFERROR(INDEX(UNSPSCDes,MATCH(INDIRECT(ADDRESS(ROW(),COLUMN()-1,4)),UNSPSCCode,0)),IF(INDIRECT(ADDRESS(ROW(),COLUMN()-1,4))="43202005","Tarjeta flash de almacenamiento de memoria",""))</f>
        <v>Tarjeta flash de almacenamiento de memoria</v>
      </c>
      <c r="C977" s="30" t="str">
        <f>IFERROR(VLOOKUP("UD",'[1]Informacion '!P:Q,2,FALSE),"")</f>
        <v>Unidad</v>
      </c>
      <c r="D977" s="28">
        <v>100</v>
      </c>
      <c r="E977" s="31">
        <v>1500</v>
      </c>
      <c r="F977" s="32">
        <f t="shared" ca="1" si="16"/>
        <v>150000</v>
      </c>
    </row>
    <row r="978" spans="1:6" x14ac:dyDescent="0.3">
      <c r="A978" s="28" t="s">
        <v>407</v>
      </c>
      <c r="B978" s="29" t="str">
        <f ca="1">IFERROR(INDEX(UNSPSCDes,MATCH(INDIRECT(ADDRESS(ROW(),COLUMN()-1,4)),UNSPSCCode,0)),IF(INDIRECT(ADDRESS(ROW(),COLUMN()-1,4))="43211606","Kits de multimedia",""))</f>
        <v>Kits de multimedia</v>
      </c>
      <c r="C978" s="30" t="str">
        <f>IFERROR(VLOOKUP("UD",'[1]Informacion '!P:Q,2,FALSE),"")</f>
        <v>Unidad</v>
      </c>
      <c r="D978" s="28">
        <v>2</v>
      </c>
      <c r="E978" s="31">
        <v>37000</v>
      </c>
      <c r="F978" s="32">
        <f t="shared" ca="1" si="16"/>
        <v>74000</v>
      </c>
    </row>
    <row r="979" spans="1:6" x14ac:dyDescent="0.3">
      <c r="A979" s="19"/>
      <c r="B979" s="19"/>
      <c r="C979" s="19"/>
      <c r="D979" s="19"/>
      <c r="E979" s="33" t="s">
        <v>48</v>
      </c>
      <c r="F979" s="34">
        <f ca="1">SUM(Table56[MONTO TOTAL ESTIMADO])</f>
        <v>14727397.66</v>
      </c>
    </row>
    <row r="980" spans="1:6" ht="15" thickBot="1" x14ac:dyDescent="0.35">
      <c r="A980" s="19"/>
      <c r="B980" s="19"/>
      <c r="C980" s="19"/>
      <c r="D980" s="19"/>
      <c r="E980" s="19"/>
      <c r="F980" s="19"/>
    </row>
    <row r="981" spans="1:6" ht="21" thickBot="1" x14ac:dyDescent="0.35">
      <c r="A981" s="20" t="s">
        <v>19</v>
      </c>
      <c r="B981" s="20" t="s">
        <v>20</v>
      </c>
      <c r="C981" s="20" t="s">
        <v>21</v>
      </c>
      <c r="D981" s="20" t="s">
        <v>22</v>
      </c>
      <c r="E981" s="20" t="s">
        <v>23</v>
      </c>
      <c r="F981" s="20" t="s">
        <v>24</v>
      </c>
    </row>
    <row r="982" spans="1:6" ht="15" thickBot="1" x14ac:dyDescent="0.35">
      <c r="A982" s="21" t="s">
        <v>408</v>
      </c>
      <c r="B982" s="21" t="s">
        <v>409</v>
      </c>
      <c r="C982" s="21" t="s">
        <v>60</v>
      </c>
      <c r="D982" s="21" t="s">
        <v>94</v>
      </c>
      <c r="E982" s="21" t="s">
        <v>29</v>
      </c>
      <c r="F982" s="21" t="s">
        <v>18</v>
      </c>
    </row>
    <row r="983" spans="1:6" ht="15" thickBot="1" x14ac:dyDescent="0.35">
      <c r="A983" s="41" t="s">
        <v>30</v>
      </c>
      <c r="B983" s="22" t="s">
        <v>31</v>
      </c>
      <c r="C983" s="23">
        <v>45000</v>
      </c>
      <c r="D983" s="41" t="s">
        <v>32</v>
      </c>
      <c r="E983" s="24" t="s">
        <v>33</v>
      </c>
      <c r="F983" s="25" t="s">
        <v>34</v>
      </c>
    </row>
    <row r="984" spans="1:6" ht="15" thickBot="1" x14ac:dyDescent="0.35">
      <c r="A984" s="42"/>
      <c r="B984" s="22" t="s">
        <v>35</v>
      </c>
      <c r="C984" s="26">
        <f>IF(C983="","",IF(AND(MONTH(C983)&gt;=1,MONTH(C983)&lt;=3),1,IF(AND(MONTH(C983)&gt;=4,MONTH(C983)&lt;=6),2,IF(AND(MONTH(C983)&gt;=7,MONTH(C983)&lt;=9),3,4))))</f>
        <v>1</v>
      </c>
      <c r="D984" s="42"/>
      <c r="E984" s="24" t="s">
        <v>36</v>
      </c>
      <c r="F984" s="25" t="s">
        <v>37</v>
      </c>
    </row>
    <row r="985" spans="1:6" ht="15" thickBot="1" x14ac:dyDescent="0.35">
      <c r="A985" s="42"/>
      <c r="B985" s="22" t="s">
        <v>38</v>
      </c>
      <c r="C985" s="23">
        <v>45031</v>
      </c>
      <c r="D985" s="42"/>
      <c r="E985" s="24" t="s">
        <v>39</v>
      </c>
      <c r="F985" s="25" t="s">
        <v>37</v>
      </c>
    </row>
    <row r="986" spans="1:6" ht="15" thickBot="1" x14ac:dyDescent="0.35">
      <c r="A986" s="42"/>
      <c r="B986" s="22" t="s">
        <v>35</v>
      </c>
      <c r="C986" s="26">
        <f>IF(C985="","",IF(AND(MONTH(C985)&gt;=1,MONTH(C985)&lt;=3),1,IF(AND(MONTH(C985)&gt;=4,MONTH(C985)&lt;=6),2,IF(AND(MONTH(C985)&gt;=7,MONTH(C985)&lt;=9),3,4))))</f>
        <v>2</v>
      </c>
      <c r="D986" s="42"/>
      <c r="E986" s="24" t="s">
        <v>40</v>
      </c>
      <c r="F986" s="25"/>
    </row>
    <row r="987" spans="1:6" ht="15" thickBot="1" x14ac:dyDescent="0.35">
      <c r="A987" s="19"/>
      <c r="B987" s="19"/>
      <c r="C987" s="19"/>
      <c r="D987" s="19"/>
      <c r="E987" s="19"/>
      <c r="F987" s="19"/>
    </row>
    <row r="988" spans="1:6" ht="15" thickBot="1" x14ac:dyDescent="0.35">
      <c r="A988" s="27" t="s">
        <v>41</v>
      </c>
      <c r="B988" s="27" t="s">
        <v>42</v>
      </c>
      <c r="C988" s="27" t="s">
        <v>43</v>
      </c>
      <c r="D988" s="27" t="s">
        <v>44</v>
      </c>
      <c r="E988" s="27" t="s">
        <v>45</v>
      </c>
      <c r="F988" s="27" t="s">
        <v>46</v>
      </c>
    </row>
    <row r="989" spans="1:6" x14ac:dyDescent="0.3">
      <c r="A989" s="28" t="s">
        <v>410</v>
      </c>
      <c r="B989" s="29" t="str">
        <f ca="1">IFERROR(INDEX(UNSPSCDes,MATCH(INDIRECT(ADDRESS(ROW(),COLUMN()-1,4)),UNSPSCCode,0)),IF(INDIRECT(ADDRESS(ROW(),COLUMN()-1,4))="60104907","Generadores portátiles",""))</f>
        <v>Generadores portátiles</v>
      </c>
      <c r="C989" s="30" t="str">
        <f>IFERROR(VLOOKUP("UD",'[1]Informacion '!P:Q,2,FALSE),"")</f>
        <v>Unidad</v>
      </c>
      <c r="D989" s="28">
        <v>2</v>
      </c>
      <c r="E989" s="31">
        <v>88400</v>
      </c>
      <c r="F989" s="32">
        <f ca="1">INDIRECT(ADDRESS(ROW(),COLUMN()-2,4))*INDIRECT(ADDRESS(ROW(),COLUMN()-1,4))</f>
        <v>176800</v>
      </c>
    </row>
    <row r="990" spans="1:6" x14ac:dyDescent="0.3">
      <c r="A990" s="19"/>
      <c r="B990" s="19"/>
      <c r="C990" s="19"/>
      <c r="D990" s="19"/>
      <c r="E990" s="33" t="s">
        <v>48</v>
      </c>
      <c r="F990" s="34">
        <f ca="1">SUM(Table57[MONTO TOTAL ESTIMADO])</f>
        <v>176800</v>
      </c>
    </row>
    <row r="991" spans="1:6" ht="15" thickBot="1" x14ac:dyDescent="0.35">
      <c r="A991" s="19"/>
      <c r="B991" s="19"/>
      <c r="C991" s="19"/>
      <c r="D991" s="19"/>
      <c r="E991" s="19"/>
      <c r="F991" s="19"/>
    </row>
    <row r="992" spans="1:6" ht="21" thickBot="1" x14ac:dyDescent="0.35">
      <c r="A992" s="20" t="s">
        <v>19</v>
      </c>
      <c r="B992" s="20" t="s">
        <v>20</v>
      </c>
      <c r="C992" s="20" t="s">
        <v>21</v>
      </c>
      <c r="D992" s="20" t="s">
        <v>22</v>
      </c>
      <c r="E992" s="20" t="s">
        <v>23</v>
      </c>
      <c r="F992" s="20" t="s">
        <v>24</v>
      </c>
    </row>
    <row r="993" spans="1:6" ht="15" thickBot="1" x14ac:dyDescent="0.35">
      <c r="A993" s="21" t="s">
        <v>411</v>
      </c>
      <c r="B993" s="21" t="s">
        <v>412</v>
      </c>
      <c r="C993" s="21" t="s">
        <v>60</v>
      </c>
      <c r="D993" s="21" t="s">
        <v>61</v>
      </c>
      <c r="E993" s="21" t="s">
        <v>29</v>
      </c>
      <c r="F993" s="21" t="s">
        <v>18</v>
      </c>
    </row>
    <row r="994" spans="1:6" ht="15" thickBot="1" x14ac:dyDescent="0.35">
      <c r="A994" s="41" t="s">
        <v>30</v>
      </c>
      <c r="B994" s="22" t="s">
        <v>31</v>
      </c>
      <c r="C994" s="23">
        <v>45000</v>
      </c>
      <c r="D994" s="41" t="s">
        <v>32</v>
      </c>
      <c r="E994" s="24" t="s">
        <v>33</v>
      </c>
      <c r="F994" s="25" t="s">
        <v>34</v>
      </c>
    </row>
    <row r="995" spans="1:6" ht="15" thickBot="1" x14ac:dyDescent="0.35">
      <c r="A995" s="42"/>
      <c r="B995" s="22" t="s">
        <v>35</v>
      </c>
      <c r="C995" s="26">
        <f>IF(C994="","",IF(AND(MONTH(C994)&gt;=1,MONTH(C994)&lt;=3),1,IF(AND(MONTH(C994)&gt;=4,MONTH(C994)&lt;=6),2,IF(AND(MONTH(C994)&gt;=7,MONTH(C994)&lt;=9),3,4))))</f>
        <v>1</v>
      </c>
      <c r="D995" s="42"/>
      <c r="E995" s="24" t="s">
        <v>36</v>
      </c>
      <c r="F995" s="25" t="s">
        <v>37</v>
      </c>
    </row>
    <row r="996" spans="1:6" ht="15" thickBot="1" x14ac:dyDescent="0.35">
      <c r="A996" s="42"/>
      <c r="B996" s="22" t="s">
        <v>38</v>
      </c>
      <c r="C996" s="23">
        <v>45031</v>
      </c>
      <c r="D996" s="42"/>
      <c r="E996" s="24" t="s">
        <v>39</v>
      </c>
      <c r="F996" s="25" t="s">
        <v>37</v>
      </c>
    </row>
    <row r="997" spans="1:6" ht="15" thickBot="1" x14ac:dyDescent="0.35">
      <c r="A997" s="42"/>
      <c r="B997" s="22" t="s">
        <v>35</v>
      </c>
      <c r="C997" s="26">
        <f>IF(C996="","",IF(AND(MONTH(C996)&gt;=1,MONTH(C996)&lt;=3),1,IF(AND(MONTH(C996)&gt;=4,MONTH(C996)&lt;=6),2,IF(AND(MONTH(C996)&gt;=7,MONTH(C996)&lt;=9),3,4))))</f>
        <v>2</v>
      </c>
      <c r="D997" s="42"/>
      <c r="E997" s="24" t="s">
        <v>40</v>
      </c>
      <c r="F997" s="25"/>
    </row>
    <row r="998" spans="1:6" ht="15" thickBot="1" x14ac:dyDescent="0.35">
      <c r="A998" s="19"/>
      <c r="B998" s="19"/>
      <c r="C998" s="19"/>
      <c r="D998" s="19"/>
      <c r="E998" s="19"/>
      <c r="F998" s="19"/>
    </row>
    <row r="999" spans="1:6" ht="15" thickBot="1" x14ac:dyDescent="0.35">
      <c r="A999" s="27" t="s">
        <v>41</v>
      </c>
      <c r="B999" s="27" t="s">
        <v>42</v>
      </c>
      <c r="C999" s="27" t="s">
        <v>43</v>
      </c>
      <c r="D999" s="27" t="s">
        <v>44</v>
      </c>
      <c r="E999" s="27" t="s">
        <v>45</v>
      </c>
      <c r="F999" s="27" t="s">
        <v>46</v>
      </c>
    </row>
    <row r="1000" spans="1:6" x14ac:dyDescent="0.3">
      <c r="A1000" s="28" t="s">
        <v>413</v>
      </c>
      <c r="B1000" s="29" t="str">
        <f ca="1">IFERROR(INDEX(UNSPSCDes,MATCH(INDIRECT(ADDRESS(ROW(),COLUMN()-1,4)),UNSPSCCode,0)),IF(INDIRECT(ADDRESS(ROW(),COLUMN()-1,4))="43231513","Software para oficinas",""))</f>
        <v>Software para oficinas</v>
      </c>
      <c r="C1000" s="30" t="str">
        <f>IFERROR(VLOOKUP("PAQ",'[1]Informacion '!P:Q,2,FALSE),"")</f>
        <v>Paquete</v>
      </c>
      <c r="D1000" s="28">
        <v>100</v>
      </c>
      <c r="E1000" s="31">
        <v>13500</v>
      </c>
      <c r="F1000" s="32">
        <f t="shared" ref="F1000:F1005" ca="1" si="17">INDIRECT(ADDRESS(ROW(),COLUMN()-2,4))*INDIRECT(ADDRESS(ROW(),COLUMN()-1,4))</f>
        <v>1350000</v>
      </c>
    </row>
    <row r="1001" spans="1:6" x14ac:dyDescent="0.3">
      <c r="A1001" s="28" t="s">
        <v>414</v>
      </c>
      <c r="B1001" s="29" t="str">
        <f ca="1">IFERROR(INDEX(UNSPSCDes,MATCH(INDIRECT(ADDRESS(ROW(),COLUMN()-1,4)),UNSPSCCode,0)),IF(INDIRECT(ADDRESS(ROW(),COLUMN()-1,4))="43231507","Software de manejo de proyectos",""))</f>
        <v>Software de manejo de proyectos</v>
      </c>
      <c r="C1001" s="30" t="str">
        <f>IFERROR(VLOOKUP("UD",'[1]Informacion '!P:Q,2,FALSE),"")</f>
        <v>Unidad</v>
      </c>
      <c r="D1001" s="28">
        <v>4</v>
      </c>
      <c r="E1001" s="31">
        <v>39400</v>
      </c>
      <c r="F1001" s="32">
        <f t="shared" ca="1" si="17"/>
        <v>157600</v>
      </c>
    </row>
    <row r="1002" spans="1:6" x14ac:dyDescent="0.3">
      <c r="A1002" s="28" t="s">
        <v>415</v>
      </c>
      <c r="B1002" s="29" t="str">
        <f ca="1">IFERROR(INDEX(UNSPSCDes,MATCH(INDIRECT(ADDRESS(ROW(),COLUMN()-1,4)),UNSPSCCode,0)),IF(INDIRECT(ADDRESS(ROW(),COLUMN()-1,4))="43232102","Software de imágenes gráficas o de fotografía",""))</f>
        <v>Software de imágenes gráficas o de fotografía</v>
      </c>
      <c r="C1002" s="30" t="str">
        <f>IFERROR(VLOOKUP("UD",'[1]Informacion '!P:Q,2,FALSE),"")</f>
        <v>Unidad</v>
      </c>
      <c r="D1002" s="28">
        <v>3</v>
      </c>
      <c r="E1002" s="31">
        <v>18000</v>
      </c>
      <c r="F1002" s="32">
        <f t="shared" ca="1" si="17"/>
        <v>54000</v>
      </c>
    </row>
    <row r="1003" spans="1:6" x14ac:dyDescent="0.3">
      <c r="A1003" s="28" t="s">
        <v>416</v>
      </c>
      <c r="B1003" s="29" t="str">
        <f ca="1">IFERROR(INDEX(UNSPSCDes,MATCH(INDIRECT(ADDRESS(ROW(),COLUMN()-1,4)),UNSPSCCode,0)),IF(INDIRECT(ADDRESS(ROW(),COLUMN()-1,4))="43232103","Software de creación y edición de video",""))</f>
        <v>Software de creación y edición de video</v>
      </c>
      <c r="C1003" s="30" t="str">
        <f>IFERROR(VLOOKUP("UD",'[1]Informacion '!P:Q,2,FALSE),"")</f>
        <v>Unidad</v>
      </c>
      <c r="D1003" s="28">
        <v>2</v>
      </c>
      <c r="E1003" s="31">
        <v>30000</v>
      </c>
      <c r="F1003" s="32">
        <f t="shared" ca="1" si="17"/>
        <v>60000</v>
      </c>
    </row>
    <row r="1004" spans="1:6" x14ac:dyDescent="0.3">
      <c r="A1004" s="28" t="s">
        <v>417</v>
      </c>
      <c r="B1004" s="29" t="str">
        <f ca="1">IFERROR(INDEX(UNSPSCDes,MATCH(INDIRECT(ADDRESS(ROW(),COLUMN()-1,4)),UNSPSCCode,0)),IF(INDIRECT(ADDRESS(ROW(),COLUMN()-1,4))="43233402","Software de conversión de información",""))</f>
        <v>Software de conversión de información</v>
      </c>
      <c r="C1004" s="30" t="str">
        <f>IFERROR(VLOOKUP("UD",'[1]Informacion '!P:Q,2,FALSE),"")</f>
        <v>Unidad</v>
      </c>
      <c r="D1004" s="28">
        <v>10</v>
      </c>
      <c r="E1004" s="31">
        <v>26833.164499999999</v>
      </c>
      <c r="F1004" s="32">
        <f t="shared" ca="1" si="17"/>
        <v>268331.64500000002</v>
      </c>
    </row>
    <row r="1005" spans="1:6" ht="20.399999999999999" x14ac:dyDescent="0.3">
      <c r="A1005" s="28" t="s">
        <v>418</v>
      </c>
      <c r="B1005" s="29" t="str">
        <f ca="1">IFERROR(INDEX(UNSPSCDes,MATCH(INDIRECT(ADDRESS(ROW(),COLUMN()-1,4)),UNSPSCCode,0)),IF(INDIRECT(ADDRESS(ROW(),COLUMN()-1,4))="43233204","Software de equipos de seguridad de red y de redes privadas virtuales vpn",""))</f>
        <v>Software de equipos de seguridad de red y de redes privadas virtuales vpn</v>
      </c>
      <c r="C1005" s="30" t="str">
        <f>IFERROR(VLOOKUP("UD",'[1]Informacion '!P:Q,2,FALSE),"")</f>
        <v>Unidad</v>
      </c>
      <c r="D1005" s="28">
        <v>1</v>
      </c>
      <c r="E1005" s="31">
        <v>287500</v>
      </c>
      <c r="F1005" s="32">
        <f t="shared" ca="1" si="17"/>
        <v>287500</v>
      </c>
    </row>
    <row r="1006" spans="1:6" x14ac:dyDescent="0.3">
      <c r="A1006" s="19"/>
      <c r="B1006" s="19"/>
      <c r="C1006" s="19"/>
      <c r="D1006" s="19"/>
      <c r="E1006" s="33" t="s">
        <v>48</v>
      </c>
      <c r="F1006" s="34">
        <f ca="1">SUM(Table58[MONTO TOTAL ESTIMADO])</f>
        <v>2177431.645</v>
      </c>
    </row>
    <row r="1007" spans="1:6" ht="15" thickBot="1" x14ac:dyDescent="0.35">
      <c r="A1007" s="19"/>
      <c r="B1007" s="19"/>
      <c r="C1007" s="19"/>
      <c r="D1007" s="19"/>
      <c r="E1007" s="19"/>
      <c r="F1007" s="19"/>
    </row>
    <row r="1008" spans="1:6" ht="21" thickBot="1" x14ac:dyDescent="0.35">
      <c r="A1008" s="20" t="s">
        <v>19</v>
      </c>
      <c r="B1008" s="20" t="s">
        <v>20</v>
      </c>
      <c r="C1008" s="20" t="s">
        <v>21</v>
      </c>
      <c r="D1008" s="20" t="s">
        <v>22</v>
      </c>
      <c r="E1008" s="20" t="s">
        <v>23</v>
      </c>
      <c r="F1008" s="20" t="s">
        <v>24</v>
      </c>
    </row>
    <row r="1009" spans="1:6" ht="15" thickBot="1" x14ac:dyDescent="0.35">
      <c r="A1009" s="21" t="s">
        <v>411</v>
      </c>
      <c r="B1009" s="21" t="s">
        <v>412</v>
      </c>
      <c r="C1009" s="21" t="s">
        <v>60</v>
      </c>
      <c r="D1009" s="21" t="s">
        <v>68</v>
      </c>
      <c r="E1009" s="21" t="s">
        <v>29</v>
      </c>
      <c r="F1009" s="21" t="s">
        <v>18</v>
      </c>
    </row>
    <row r="1010" spans="1:6" ht="15" thickBot="1" x14ac:dyDescent="0.35">
      <c r="A1010" s="41" t="s">
        <v>30</v>
      </c>
      <c r="B1010" s="22" t="s">
        <v>31</v>
      </c>
      <c r="C1010" s="23">
        <v>45000</v>
      </c>
      <c r="D1010" s="41" t="s">
        <v>32</v>
      </c>
      <c r="E1010" s="24" t="s">
        <v>33</v>
      </c>
      <c r="F1010" s="25" t="s">
        <v>34</v>
      </c>
    </row>
    <row r="1011" spans="1:6" ht="15" thickBot="1" x14ac:dyDescent="0.35">
      <c r="A1011" s="42"/>
      <c r="B1011" s="22" t="s">
        <v>35</v>
      </c>
      <c r="C1011" s="26">
        <f>IF(C1010="","",IF(AND(MONTH(C1010)&gt;=1,MONTH(C1010)&lt;=3),1,IF(AND(MONTH(C1010)&gt;=4,MONTH(C1010)&lt;=6),2,IF(AND(MONTH(C1010)&gt;=7,MONTH(C1010)&lt;=9),3,4))))</f>
        <v>1</v>
      </c>
      <c r="D1011" s="42"/>
      <c r="E1011" s="24" t="s">
        <v>36</v>
      </c>
      <c r="F1011" s="25" t="s">
        <v>37</v>
      </c>
    </row>
    <row r="1012" spans="1:6" ht="15" thickBot="1" x14ac:dyDescent="0.35">
      <c r="A1012" s="42"/>
      <c r="B1012" s="22" t="s">
        <v>38</v>
      </c>
      <c r="C1012" s="23">
        <v>45061</v>
      </c>
      <c r="D1012" s="42"/>
      <c r="E1012" s="24" t="s">
        <v>39</v>
      </c>
      <c r="F1012" s="25" t="s">
        <v>37</v>
      </c>
    </row>
    <row r="1013" spans="1:6" ht="15" thickBot="1" x14ac:dyDescent="0.35">
      <c r="A1013" s="42"/>
      <c r="B1013" s="22" t="s">
        <v>35</v>
      </c>
      <c r="C1013" s="26">
        <f>IF(C1012="","",IF(AND(MONTH(C1012)&gt;=1,MONTH(C1012)&lt;=3),1,IF(AND(MONTH(C1012)&gt;=4,MONTH(C1012)&lt;=6),2,IF(AND(MONTH(C1012)&gt;=7,MONTH(C1012)&lt;=9),3,4))))</f>
        <v>2</v>
      </c>
      <c r="D1013" s="42"/>
      <c r="E1013" s="24" t="s">
        <v>40</v>
      </c>
      <c r="F1013" s="25"/>
    </row>
    <row r="1014" spans="1:6" ht="15" thickBot="1" x14ac:dyDescent="0.35">
      <c r="A1014" s="19"/>
      <c r="B1014" s="19"/>
      <c r="C1014" s="19"/>
      <c r="D1014" s="19"/>
      <c r="E1014" s="19"/>
      <c r="F1014" s="19"/>
    </row>
    <row r="1015" spans="1:6" ht="15" thickBot="1" x14ac:dyDescent="0.35">
      <c r="A1015" s="27" t="s">
        <v>41</v>
      </c>
      <c r="B1015" s="27" t="s">
        <v>42</v>
      </c>
      <c r="C1015" s="27" t="s">
        <v>43</v>
      </c>
      <c r="D1015" s="27" t="s">
        <v>44</v>
      </c>
      <c r="E1015" s="27" t="s">
        <v>45</v>
      </c>
      <c r="F1015" s="27" t="s">
        <v>46</v>
      </c>
    </row>
    <row r="1016" spans="1:6" x14ac:dyDescent="0.3">
      <c r="A1016" s="28" t="s">
        <v>419</v>
      </c>
      <c r="B1016" s="29" t="str">
        <f ca="1">IFERROR(INDEX(UNSPSCDes,MATCH(INDIRECT(ADDRESS(ROW(),COLUMN()-1,4)),UNSPSCCode,0)),IF(INDIRECT(ADDRESS(ROW(),COLUMN()-1,4))="43232604","Software de diseño asistido de computador cad",""))</f>
        <v>Software de diseño asistido de computador cad</v>
      </c>
      <c r="C1016" s="30" t="str">
        <f>IFERROR(VLOOKUP("UD",'[1]Informacion '!P:Q,2,FALSE),"")</f>
        <v>Unidad</v>
      </c>
      <c r="D1016" s="28">
        <v>60</v>
      </c>
      <c r="E1016" s="31">
        <v>140000</v>
      </c>
      <c r="F1016" s="32">
        <f ca="1">INDIRECT(ADDRESS(ROW(),COLUMN()-2,4))*INDIRECT(ADDRESS(ROW(),COLUMN()-1,4))</f>
        <v>8400000</v>
      </c>
    </row>
    <row r="1017" spans="1:6" x14ac:dyDescent="0.3">
      <c r="A1017" s="19"/>
      <c r="B1017" s="19"/>
      <c r="C1017" s="19"/>
      <c r="D1017" s="19"/>
      <c r="E1017" s="33" t="s">
        <v>48</v>
      </c>
      <c r="F1017" s="34">
        <f ca="1">SUM(Table59[MONTO TOTAL ESTIMADO])</f>
        <v>8400000</v>
      </c>
    </row>
    <row r="1018" spans="1:6" ht="15" thickBot="1" x14ac:dyDescent="0.35">
      <c r="A1018" s="19"/>
      <c r="B1018" s="19"/>
      <c r="C1018" s="19"/>
      <c r="D1018" s="19"/>
      <c r="E1018" s="19"/>
      <c r="F1018" s="19"/>
    </row>
    <row r="1019" spans="1:6" ht="21" thickBot="1" x14ac:dyDescent="0.35">
      <c r="A1019" s="20" t="s">
        <v>19</v>
      </c>
      <c r="B1019" s="20" t="s">
        <v>20</v>
      </c>
      <c r="C1019" s="20" t="s">
        <v>21</v>
      </c>
      <c r="D1019" s="20" t="s">
        <v>22</v>
      </c>
      <c r="E1019" s="20" t="s">
        <v>23</v>
      </c>
      <c r="F1019" s="20" t="s">
        <v>24</v>
      </c>
    </row>
    <row r="1020" spans="1:6" ht="15" thickBot="1" x14ac:dyDescent="0.35">
      <c r="A1020" s="21" t="s">
        <v>420</v>
      </c>
      <c r="B1020" s="21" t="s">
        <v>421</v>
      </c>
      <c r="C1020" s="21" t="s">
        <v>60</v>
      </c>
      <c r="D1020" s="21" t="s">
        <v>61</v>
      </c>
      <c r="E1020" s="21" t="s">
        <v>29</v>
      </c>
      <c r="F1020" s="21" t="s">
        <v>18</v>
      </c>
    </row>
    <row r="1021" spans="1:6" ht="15" thickBot="1" x14ac:dyDescent="0.35">
      <c r="A1021" s="41" t="s">
        <v>30</v>
      </c>
      <c r="B1021" s="22" t="s">
        <v>31</v>
      </c>
      <c r="C1021" s="23">
        <v>45000</v>
      </c>
      <c r="D1021" s="41" t="s">
        <v>32</v>
      </c>
      <c r="E1021" s="24" t="s">
        <v>33</v>
      </c>
      <c r="F1021" s="25" t="s">
        <v>34</v>
      </c>
    </row>
    <row r="1022" spans="1:6" ht="15" thickBot="1" x14ac:dyDescent="0.35">
      <c r="A1022" s="42"/>
      <c r="B1022" s="22" t="s">
        <v>35</v>
      </c>
      <c r="C1022" s="26">
        <f>IF(C1021="","",IF(AND(MONTH(C1021)&gt;=1,MONTH(C1021)&lt;=3),1,IF(AND(MONTH(C1021)&gt;=4,MONTH(C1021)&lt;=6),2,IF(AND(MONTH(C1021)&gt;=7,MONTH(C1021)&lt;=9),3,4))))</f>
        <v>1</v>
      </c>
      <c r="D1022" s="42"/>
      <c r="E1022" s="24" t="s">
        <v>36</v>
      </c>
      <c r="F1022" s="25" t="s">
        <v>37</v>
      </c>
    </row>
    <row r="1023" spans="1:6" ht="15" thickBot="1" x14ac:dyDescent="0.35">
      <c r="A1023" s="42"/>
      <c r="B1023" s="22" t="s">
        <v>38</v>
      </c>
      <c r="C1023" s="23">
        <v>45061</v>
      </c>
      <c r="D1023" s="42"/>
      <c r="E1023" s="24" t="s">
        <v>39</v>
      </c>
      <c r="F1023" s="25" t="s">
        <v>37</v>
      </c>
    </row>
    <row r="1024" spans="1:6" ht="15" thickBot="1" x14ac:dyDescent="0.35">
      <c r="A1024" s="42"/>
      <c r="B1024" s="22" t="s">
        <v>35</v>
      </c>
      <c r="C1024" s="26">
        <f>IF(C1023="","",IF(AND(MONTH(C1023)&gt;=1,MONTH(C1023)&lt;=3),1,IF(AND(MONTH(C1023)&gt;=4,MONTH(C1023)&lt;=6),2,IF(AND(MONTH(C1023)&gt;=7,MONTH(C1023)&lt;=9),3,4))))</f>
        <v>2</v>
      </c>
      <c r="D1024" s="42"/>
      <c r="E1024" s="24" t="s">
        <v>40</v>
      </c>
      <c r="F1024" s="25"/>
    </row>
    <row r="1025" spans="1:6" ht="15" thickBot="1" x14ac:dyDescent="0.35">
      <c r="A1025" s="19"/>
      <c r="B1025" s="19"/>
      <c r="C1025" s="19"/>
      <c r="D1025" s="19"/>
      <c r="E1025" s="19"/>
      <c r="F1025" s="19"/>
    </row>
    <row r="1026" spans="1:6" ht="15" thickBot="1" x14ac:dyDescent="0.35">
      <c r="A1026" s="27" t="s">
        <v>41</v>
      </c>
      <c r="B1026" s="27" t="s">
        <v>42</v>
      </c>
      <c r="C1026" s="27" t="s">
        <v>43</v>
      </c>
      <c r="D1026" s="27" t="s">
        <v>44</v>
      </c>
      <c r="E1026" s="27" t="s">
        <v>45</v>
      </c>
      <c r="F1026" s="27" t="s">
        <v>46</v>
      </c>
    </row>
    <row r="1027" spans="1:6" x14ac:dyDescent="0.3">
      <c r="A1027" s="28" t="s">
        <v>422</v>
      </c>
      <c r="B1027" s="29" t="str">
        <f ca="1">IFERROR(INDEX(UNSPSCDes,MATCH(INDIRECT(ADDRESS(ROW(),COLUMN()-1,4)),UNSPSCCode,0)),IF(INDIRECT(ADDRESS(ROW(),COLUMN()-1,4))="43231601","Software de contabilidad",""))</f>
        <v>Software de contabilidad</v>
      </c>
      <c r="C1027" s="30" t="str">
        <f>IFERROR(VLOOKUP("PAQ",'[1]Informacion '!P:Q,2,FALSE),"")</f>
        <v>Paquete</v>
      </c>
      <c r="D1027" s="28">
        <v>1</v>
      </c>
      <c r="E1027" s="31">
        <v>6000000</v>
      </c>
      <c r="F1027" s="32">
        <f ca="1">INDIRECT(ADDRESS(ROW(),COLUMN()-2,4))*INDIRECT(ADDRESS(ROW(),COLUMN()-1,4))</f>
        <v>6000000</v>
      </c>
    </row>
    <row r="1028" spans="1:6" x14ac:dyDescent="0.3">
      <c r="A1028" s="19"/>
      <c r="B1028" s="19"/>
      <c r="C1028" s="19"/>
      <c r="D1028" s="19"/>
      <c r="E1028" s="33" t="s">
        <v>48</v>
      </c>
      <c r="F1028" s="34">
        <f ca="1">SUM(Table60[MONTO TOTAL ESTIMADO])</f>
        <v>6000000</v>
      </c>
    </row>
    <row r="1029" spans="1:6" ht="15" thickBot="1" x14ac:dyDescent="0.35">
      <c r="A1029" s="19"/>
      <c r="B1029" s="19"/>
      <c r="C1029" s="19"/>
      <c r="D1029" s="19"/>
      <c r="E1029" s="19"/>
      <c r="F1029" s="19"/>
    </row>
    <row r="1030" spans="1:6" ht="21" thickBot="1" x14ac:dyDescent="0.35">
      <c r="A1030" s="20" t="s">
        <v>19</v>
      </c>
      <c r="B1030" s="20" t="s">
        <v>20</v>
      </c>
      <c r="C1030" s="20" t="s">
        <v>21</v>
      </c>
      <c r="D1030" s="20" t="s">
        <v>22</v>
      </c>
      <c r="E1030" s="20" t="s">
        <v>23</v>
      </c>
      <c r="F1030" s="20" t="s">
        <v>24</v>
      </c>
    </row>
    <row r="1031" spans="1:6" ht="15" thickBot="1" x14ac:dyDescent="0.35">
      <c r="A1031" s="21" t="s">
        <v>423</v>
      </c>
      <c r="B1031" s="21" t="s">
        <v>424</v>
      </c>
      <c r="C1031" s="21" t="s">
        <v>27</v>
      </c>
      <c r="D1031" s="21" t="s">
        <v>425</v>
      </c>
      <c r="E1031" s="21" t="s">
        <v>29</v>
      </c>
      <c r="F1031" s="21" t="s">
        <v>18</v>
      </c>
    </row>
    <row r="1032" spans="1:6" ht="15" thickBot="1" x14ac:dyDescent="0.35">
      <c r="A1032" s="41" t="s">
        <v>30</v>
      </c>
      <c r="B1032" s="22" t="s">
        <v>31</v>
      </c>
      <c r="C1032" s="23">
        <v>45000</v>
      </c>
      <c r="D1032" s="41" t="s">
        <v>32</v>
      </c>
      <c r="E1032" s="24" t="s">
        <v>33</v>
      </c>
      <c r="F1032" s="25" t="s">
        <v>34</v>
      </c>
    </row>
    <row r="1033" spans="1:6" ht="15" thickBot="1" x14ac:dyDescent="0.35">
      <c r="A1033" s="42"/>
      <c r="B1033" s="22" t="s">
        <v>35</v>
      </c>
      <c r="C1033" s="26">
        <f>IF(C1032="","",IF(AND(MONTH(C1032)&gt;=1,MONTH(C1032)&lt;=3),1,IF(AND(MONTH(C1032)&gt;=4,MONTH(C1032)&lt;=6),2,IF(AND(MONTH(C1032)&gt;=7,MONTH(C1032)&lt;=9),3,4))))</f>
        <v>1</v>
      </c>
      <c r="D1033" s="42"/>
      <c r="E1033" s="24" t="s">
        <v>36</v>
      </c>
      <c r="F1033" s="25" t="s">
        <v>37</v>
      </c>
    </row>
    <row r="1034" spans="1:6" ht="15" thickBot="1" x14ac:dyDescent="0.35">
      <c r="A1034" s="42"/>
      <c r="B1034" s="22" t="s">
        <v>38</v>
      </c>
      <c r="C1034" s="23">
        <v>45031</v>
      </c>
      <c r="D1034" s="42"/>
      <c r="E1034" s="24" t="s">
        <v>39</v>
      </c>
      <c r="F1034" s="25" t="s">
        <v>37</v>
      </c>
    </row>
    <row r="1035" spans="1:6" ht="15" thickBot="1" x14ac:dyDescent="0.35">
      <c r="A1035" s="42"/>
      <c r="B1035" s="22" t="s">
        <v>35</v>
      </c>
      <c r="C1035" s="26">
        <f>IF(C1034="","",IF(AND(MONTH(C1034)&gt;=1,MONTH(C1034)&lt;=3),1,IF(AND(MONTH(C1034)&gt;=4,MONTH(C1034)&lt;=6),2,IF(AND(MONTH(C1034)&gt;=7,MONTH(C1034)&lt;=9),3,4))))</f>
        <v>2</v>
      </c>
      <c r="D1035" s="42"/>
      <c r="E1035" s="24" t="s">
        <v>40</v>
      </c>
      <c r="F1035" s="25"/>
    </row>
    <row r="1036" spans="1:6" ht="15" thickBot="1" x14ac:dyDescent="0.35">
      <c r="A1036" s="19"/>
      <c r="B1036" s="19"/>
      <c r="C1036" s="19"/>
      <c r="D1036" s="19"/>
      <c r="E1036" s="19"/>
      <c r="F1036" s="19"/>
    </row>
    <row r="1037" spans="1:6" ht="15" thickBot="1" x14ac:dyDescent="0.35">
      <c r="A1037" s="27" t="s">
        <v>41</v>
      </c>
      <c r="B1037" s="27" t="s">
        <v>42</v>
      </c>
      <c r="C1037" s="27" t="s">
        <v>43</v>
      </c>
      <c r="D1037" s="27" t="s">
        <v>44</v>
      </c>
      <c r="E1037" s="27" t="s">
        <v>45</v>
      </c>
      <c r="F1037" s="27" t="s">
        <v>46</v>
      </c>
    </row>
    <row r="1038" spans="1:6" x14ac:dyDescent="0.3">
      <c r="A1038" s="28" t="s">
        <v>426</v>
      </c>
      <c r="B1038" s="29" t="str">
        <f ca="1">IFERROR(INDEX(UNSPSCDes,MATCH(INDIRECT(ADDRESS(ROW(),COLUMN()-1,4)),UNSPSCCode,0)),IF(INDIRECT(ADDRESS(ROW(),COLUMN()-1,4))="23153031","Plantillas de medición",""))</f>
        <v>Plantillas de medición</v>
      </c>
      <c r="C1038" s="30" t="str">
        <f>IFERROR(VLOOKUP("UD",'[1]Informacion '!P:Q,2,FALSE),"")</f>
        <v>Unidad</v>
      </c>
      <c r="D1038" s="28">
        <v>14</v>
      </c>
      <c r="E1038" s="31">
        <v>125000</v>
      </c>
      <c r="F1038" s="32">
        <f ca="1">INDIRECT(ADDRESS(ROW(),COLUMN()-2,4))*INDIRECT(ADDRESS(ROW(),COLUMN()-1,4))</f>
        <v>1750000</v>
      </c>
    </row>
    <row r="1039" spans="1:6" x14ac:dyDescent="0.3">
      <c r="A1039" s="28" t="s">
        <v>427</v>
      </c>
      <c r="B1039" s="29" t="str">
        <f ca="1">IFERROR(INDEX(UNSPSCDes,MATCH(INDIRECT(ADDRESS(ROW(),COLUMN()-1,4)),UNSPSCCode,0)),IF(INDIRECT(ADDRESS(ROW(),COLUMN()-1,4))="52161518","Receptores de sistemas de posicionamiento global",""))</f>
        <v>Receptores de sistemas de posicionamiento global</v>
      </c>
      <c r="C1039" s="30" t="str">
        <f>IFERROR(VLOOKUP("UD",'[1]Informacion '!P:Q,2,FALSE),"")</f>
        <v>Unidad</v>
      </c>
      <c r="D1039" s="28">
        <v>8</v>
      </c>
      <c r="E1039" s="31">
        <v>1251150</v>
      </c>
      <c r="F1039" s="32">
        <f ca="1">INDIRECT(ADDRESS(ROW(),COLUMN()-2,4))*INDIRECT(ADDRESS(ROW(),COLUMN()-1,4))</f>
        <v>10009200</v>
      </c>
    </row>
    <row r="1040" spans="1:6" x14ac:dyDescent="0.3">
      <c r="A1040" s="19"/>
      <c r="B1040" s="19"/>
      <c r="C1040" s="19"/>
      <c r="D1040" s="19"/>
      <c r="E1040" s="33" t="s">
        <v>48</v>
      </c>
      <c r="F1040" s="34">
        <f ca="1">SUM(Table61[MONTO TOTAL ESTIMADO])</f>
        <v>11759200</v>
      </c>
    </row>
    <row r="1041" spans="1:6" ht="15" thickBot="1" x14ac:dyDescent="0.35">
      <c r="A1041" s="19"/>
      <c r="B1041" s="19"/>
      <c r="C1041" s="19"/>
      <c r="D1041" s="19"/>
      <c r="E1041" s="19"/>
      <c r="F1041" s="19"/>
    </row>
    <row r="1042" spans="1:6" ht="21" thickBot="1" x14ac:dyDescent="0.35">
      <c r="A1042" s="20" t="s">
        <v>19</v>
      </c>
      <c r="B1042" s="20" t="s">
        <v>20</v>
      </c>
      <c r="C1042" s="20" t="s">
        <v>21</v>
      </c>
      <c r="D1042" s="20" t="s">
        <v>22</v>
      </c>
      <c r="E1042" s="20" t="s">
        <v>23</v>
      </c>
      <c r="F1042" s="20" t="s">
        <v>24</v>
      </c>
    </row>
    <row r="1043" spans="1:6" ht="15" thickBot="1" x14ac:dyDescent="0.35">
      <c r="A1043" s="21" t="s">
        <v>428</v>
      </c>
      <c r="B1043" s="21" t="s">
        <v>428</v>
      </c>
      <c r="C1043" s="21" t="s">
        <v>27</v>
      </c>
      <c r="D1043" s="21" t="s">
        <v>28</v>
      </c>
      <c r="E1043" s="21" t="s">
        <v>29</v>
      </c>
      <c r="F1043" s="21" t="s">
        <v>18</v>
      </c>
    </row>
    <row r="1044" spans="1:6" ht="15" thickBot="1" x14ac:dyDescent="0.35">
      <c r="A1044" s="41" t="s">
        <v>30</v>
      </c>
      <c r="B1044" s="22" t="s">
        <v>31</v>
      </c>
      <c r="C1044" s="23">
        <v>45000</v>
      </c>
      <c r="D1044" s="41" t="s">
        <v>32</v>
      </c>
      <c r="E1044" s="24" t="s">
        <v>33</v>
      </c>
      <c r="F1044" s="25" t="s">
        <v>34</v>
      </c>
    </row>
    <row r="1045" spans="1:6" ht="15" thickBot="1" x14ac:dyDescent="0.35">
      <c r="A1045" s="42"/>
      <c r="B1045" s="22" t="s">
        <v>35</v>
      </c>
      <c r="C1045" s="26">
        <f>IF(C1044="","",IF(AND(MONTH(C1044)&gt;=1,MONTH(C1044)&lt;=3),1,IF(AND(MONTH(C1044)&gt;=4,MONTH(C1044)&lt;=6),2,IF(AND(MONTH(C1044)&gt;=7,MONTH(C1044)&lt;=9),3,4))))</f>
        <v>1</v>
      </c>
      <c r="D1045" s="42"/>
      <c r="E1045" s="24" t="s">
        <v>36</v>
      </c>
      <c r="F1045" s="25" t="s">
        <v>37</v>
      </c>
    </row>
    <row r="1046" spans="1:6" ht="15" thickBot="1" x14ac:dyDescent="0.35">
      <c r="A1046" s="42"/>
      <c r="B1046" s="22" t="s">
        <v>38</v>
      </c>
      <c r="C1046" s="23">
        <v>45031</v>
      </c>
      <c r="D1046" s="42"/>
      <c r="E1046" s="24" t="s">
        <v>39</v>
      </c>
      <c r="F1046" s="25" t="s">
        <v>37</v>
      </c>
    </row>
    <row r="1047" spans="1:6" ht="15" thickBot="1" x14ac:dyDescent="0.35">
      <c r="A1047" s="42"/>
      <c r="B1047" s="22" t="s">
        <v>35</v>
      </c>
      <c r="C1047" s="26">
        <f>IF(C1046="","",IF(AND(MONTH(C1046)&gt;=1,MONTH(C1046)&lt;=3),1,IF(AND(MONTH(C1046)&gt;=4,MONTH(C1046)&lt;=6),2,IF(AND(MONTH(C1046)&gt;=7,MONTH(C1046)&lt;=9),3,4))))</f>
        <v>2</v>
      </c>
      <c r="D1047" s="42"/>
      <c r="E1047" s="24" t="s">
        <v>40</v>
      </c>
      <c r="F1047" s="25"/>
    </row>
    <row r="1048" spans="1:6" ht="15" thickBot="1" x14ac:dyDescent="0.35">
      <c r="A1048" s="19"/>
      <c r="B1048" s="19"/>
      <c r="C1048" s="19"/>
      <c r="D1048" s="19"/>
      <c r="E1048" s="19"/>
      <c r="F1048" s="19"/>
    </row>
    <row r="1049" spans="1:6" ht="15" thickBot="1" x14ac:dyDescent="0.35">
      <c r="A1049" s="27" t="s">
        <v>41</v>
      </c>
      <c r="B1049" s="27" t="s">
        <v>42</v>
      </c>
      <c r="C1049" s="27" t="s">
        <v>43</v>
      </c>
      <c r="D1049" s="27" t="s">
        <v>44</v>
      </c>
      <c r="E1049" s="27" t="s">
        <v>45</v>
      </c>
      <c r="F1049" s="27" t="s">
        <v>46</v>
      </c>
    </row>
    <row r="1050" spans="1:6" x14ac:dyDescent="0.3">
      <c r="A1050" s="28" t="s">
        <v>429</v>
      </c>
      <c r="B1050" s="29" t="str">
        <f ca="1">IFERROR(INDEX(UNSPSCDes,MATCH(INDIRECT(ADDRESS(ROW(),COLUMN()-1,4)),UNSPSCCode,0)),IF(INDIRECT(ADDRESS(ROW(),COLUMN()-1,4))="24122002","Botellas de plástico",""))</f>
        <v>Botellas de plástico</v>
      </c>
      <c r="C1050" s="30" t="str">
        <f>IFERROR(VLOOKUP("GAL",'[1]Informacion '!P:Q,2,FALSE),"")</f>
        <v>Galón</v>
      </c>
      <c r="D1050" s="28">
        <v>60</v>
      </c>
      <c r="E1050" s="31">
        <v>413</v>
      </c>
      <c r="F1050" s="32">
        <f ca="1">INDIRECT(ADDRESS(ROW(),COLUMN()-2,4))*INDIRECT(ADDRESS(ROW(),COLUMN()-1,4))</f>
        <v>24780</v>
      </c>
    </row>
    <row r="1051" spans="1:6" x14ac:dyDescent="0.3">
      <c r="A1051" s="28" t="s">
        <v>88</v>
      </c>
      <c r="B1051" s="29" t="str">
        <f ca="1">IFERROR(INDEX(UNSPSCDes,MATCH(INDIRECT(ADDRESS(ROW(),COLUMN()-1,4)),UNSPSCCode,0)),IF(INDIRECT(ADDRESS(ROW(),COLUMN()-1,4))="50202301","Agua",""))</f>
        <v>Agua</v>
      </c>
      <c r="C1051" s="30" t="str">
        <f>IFERROR(VLOOKUP("GAL",'[1]Informacion '!P:Q,2,FALSE),"")</f>
        <v>Galón</v>
      </c>
      <c r="D1051" s="28">
        <v>6000</v>
      </c>
      <c r="E1051" s="31">
        <v>90</v>
      </c>
      <c r="F1051" s="32">
        <f ca="1">INDIRECT(ADDRESS(ROW(),COLUMN()-2,4))*INDIRECT(ADDRESS(ROW(),COLUMN()-1,4))</f>
        <v>540000</v>
      </c>
    </row>
    <row r="1052" spans="1:6" x14ac:dyDescent="0.3">
      <c r="A1052" s="28" t="s">
        <v>88</v>
      </c>
      <c r="B1052" s="29" t="str">
        <f ca="1">IFERROR(INDEX(UNSPSCDes,MATCH(INDIRECT(ADDRESS(ROW(),COLUMN()-1,4)),UNSPSCCode,0)),IF(INDIRECT(ADDRESS(ROW(),COLUMN()-1,4))="50202301","Agua",""))</f>
        <v>Agua</v>
      </c>
      <c r="C1052" s="30" t="str">
        <f>IFERROR(VLOOKUP("DEC",'[1]Informacion '!P:Q,2,FALSE),"")</f>
        <v>Decena</v>
      </c>
      <c r="D1052" s="28">
        <v>8000</v>
      </c>
      <c r="E1052" s="31">
        <v>120</v>
      </c>
      <c r="F1052" s="32">
        <f ca="1">INDIRECT(ADDRESS(ROW(),COLUMN()-2,4))*INDIRECT(ADDRESS(ROW(),COLUMN()-1,4))</f>
        <v>960000</v>
      </c>
    </row>
    <row r="1053" spans="1:6" x14ac:dyDescent="0.3">
      <c r="A1053" s="19"/>
      <c r="B1053" s="19"/>
      <c r="C1053" s="19"/>
      <c r="D1053" s="19"/>
      <c r="E1053" s="33" t="s">
        <v>48</v>
      </c>
      <c r="F1053" s="34">
        <f ca="1">SUM(Table62[MONTO TOTAL ESTIMADO])</f>
        <v>1524780</v>
      </c>
    </row>
    <row r="1054" spans="1:6" ht="15" thickBot="1" x14ac:dyDescent="0.35">
      <c r="A1054" s="19"/>
      <c r="B1054" s="19"/>
      <c r="C1054" s="19"/>
      <c r="D1054" s="19"/>
      <c r="E1054" s="19"/>
      <c r="F1054" s="19"/>
    </row>
    <row r="1055" spans="1:6" ht="21" thickBot="1" x14ac:dyDescent="0.35">
      <c r="A1055" s="20" t="s">
        <v>19</v>
      </c>
      <c r="B1055" s="20" t="s">
        <v>20</v>
      </c>
      <c r="C1055" s="20" t="s">
        <v>21</v>
      </c>
      <c r="D1055" s="20" t="s">
        <v>22</v>
      </c>
      <c r="E1055" s="20" t="s">
        <v>23</v>
      </c>
      <c r="F1055" s="20" t="s">
        <v>24</v>
      </c>
    </row>
    <row r="1056" spans="1:6" ht="15" thickBot="1" x14ac:dyDescent="0.35">
      <c r="A1056" s="21" t="s">
        <v>428</v>
      </c>
      <c r="B1056" s="21" t="s">
        <v>428</v>
      </c>
      <c r="C1056" s="21" t="s">
        <v>27</v>
      </c>
      <c r="D1056" s="21" t="s">
        <v>28</v>
      </c>
      <c r="E1056" s="21" t="s">
        <v>29</v>
      </c>
      <c r="F1056" s="21" t="s">
        <v>18</v>
      </c>
    </row>
    <row r="1057" spans="1:6" ht="15" thickBot="1" x14ac:dyDescent="0.35">
      <c r="A1057" s="41" t="s">
        <v>30</v>
      </c>
      <c r="B1057" s="22" t="s">
        <v>31</v>
      </c>
      <c r="C1057" s="23">
        <v>45122</v>
      </c>
      <c r="D1057" s="41" t="s">
        <v>32</v>
      </c>
      <c r="E1057" s="24" t="s">
        <v>33</v>
      </c>
      <c r="F1057" s="25" t="s">
        <v>34</v>
      </c>
    </row>
    <row r="1058" spans="1:6" ht="15" thickBot="1" x14ac:dyDescent="0.35">
      <c r="A1058" s="42"/>
      <c r="B1058" s="22" t="s">
        <v>35</v>
      </c>
      <c r="C1058" s="26">
        <f>IF(C1057="","",IF(AND(MONTH(C1057)&gt;=1,MONTH(C1057)&lt;=3),1,IF(AND(MONTH(C1057)&gt;=4,MONTH(C1057)&lt;=6),2,IF(AND(MONTH(C1057)&gt;=7,MONTH(C1057)&lt;=9),3,4))))</f>
        <v>3</v>
      </c>
      <c r="D1058" s="42"/>
      <c r="E1058" s="24" t="s">
        <v>36</v>
      </c>
      <c r="F1058" s="25" t="s">
        <v>37</v>
      </c>
    </row>
    <row r="1059" spans="1:6" ht="15" thickBot="1" x14ac:dyDescent="0.35">
      <c r="A1059" s="42"/>
      <c r="B1059" s="22" t="s">
        <v>38</v>
      </c>
      <c r="C1059" s="23">
        <v>45153</v>
      </c>
      <c r="D1059" s="42"/>
      <c r="E1059" s="24" t="s">
        <v>39</v>
      </c>
      <c r="F1059" s="25" t="s">
        <v>37</v>
      </c>
    </row>
    <row r="1060" spans="1:6" ht="15" thickBot="1" x14ac:dyDescent="0.35">
      <c r="A1060" s="42"/>
      <c r="B1060" s="22" t="s">
        <v>35</v>
      </c>
      <c r="C1060" s="26">
        <f>IF(C1059="","",IF(AND(MONTH(C1059)&gt;=1,MONTH(C1059)&lt;=3),1,IF(AND(MONTH(C1059)&gt;=4,MONTH(C1059)&lt;=6),2,IF(AND(MONTH(C1059)&gt;=7,MONTH(C1059)&lt;=9),3,4))))</f>
        <v>3</v>
      </c>
      <c r="D1060" s="42"/>
      <c r="E1060" s="24" t="s">
        <v>40</v>
      </c>
      <c r="F1060" s="25"/>
    </row>
    <row r="1061" spans="1:6" ht="15" thickBot="1" x14ac:dyDescent="0.35">
      <c r="A1061" s="19"/>
      <c r="B1061" s="19"/>
      <c r="C1061" s="19"/>
      <c r="D1061" s="19"/>
      <c r="E1061" s="19"/>
      <c r="F1061" s="19"/>
    </row>
    <row r="1062" spans="1:6" ht="15" thickBot="1" x14ac:dyDescent="0.35">
      <c r="A1062" s="27" t="s">
        <v>41</v>
      </c>
      <c r="B1062" s="27" t="s">
        <v>42</v>
      </c>
      <c r="C1062" s="27" t="s">
        <v>43</v>
      </c>
      <c r="D1062" s="27" t="s">
        <v>44</v>
      </c>
      <c r="E1062" s="27" t="s">
        <v>45</v>
      </c>
      <c r="F1062" s="27" t="s">
        <v>46</v>
      </c>
    </row>
    <row r="1063" spans="1:6" x14ac:dyDescent="0.3">
      <c r="A1063" s="28" t="s">
        <v>88</v>
      </c>
      <c r="B1063" s="29" t="str">
        <f ca="1">IFERROR(INDEX(UNSPSCDes,MATCH(INDIRECT(ADDRESS(ROW(),COLUMN()-1,4)),UNSPSCCode,0)),IF(INDIRECT(ADDRESS(ROW(),COLUMN()-1,4))="50202301","Agua",""))</f>
        <v>Agua</v>
      </c>
      <c r="C1063" s="30" t="str">
        <f>IFERROR(VLOOKUP("GAL",'[1]Informacion '!P:Q,2,FALSE),"")</f>
        <v>Galón</v>
      </c>
      <c r="D1063" s="28">
        <v>6000</v>
      </c>
      <c r="E1063" s="31">
        <v>90</v>
      </c>
      <c r="F1063" s="32">
        <f ca="1">INDIRECT(ADDRESS(ROW(),COLUMN()-2,4))*INDIRECT(ADDRESS(ROW(),COLUMN()-1,4))</f>
        <v>540000</v>
      </c>
    </row>
    <row r="1064" spans="1:6" x14ac:dyDescent="0.3">
      <c r="A1064" s="28" t="s">
        <v>88</v>
      </c>
      <c r="B1064" s="29" t="str">
        <f ca="1">IFERROR(INDEX(UNSPSCDes,MATCH(INDIRECT(ADDRESS(ROW(),COLUMN()-1,4)),UNSPSCCode,0)),IF(INDIRECT(ADDRESS(ROW(),COLUMN()-1,4))="50202301","Agua",""))</f>
        <v>Agua</v>
      </c>
      <c r="C1064" s="30" t="str">
        <f>IFERROR(VLOOKUP("DEC",'[1]Informacion '!P:Q,2,FALSE),"")</f>
        <v>Decena</v>
      </c>
      <c r="D1064" s="28">
        <v>8000</v>
      </c>
      <c r="E1064" s="31">
        <v>120</v>
      </c>
      <c r="F1064" s="32">
        <f ca="1">INDIRECT(ADDRESS(ROW(),COLUMN()-2,4))*INDIRECT(ADDRESS(ROW(),COLUMN()-1,4))</f>
        <v>960000</v>
      </c>
    </row>
    <row r="1065" spans="1:6" x14ac:dyDescent="0.3">
      <c r="A1065" s="19"/>
      <c r="B1065" s="19"/>
      <c r="C1065" s="19"/>
      <c r="D1065" s="19"/>
      <c r="E1065" s="33" t="s">
        <v>48</v>
      </c>
      <c r="F1065" s="34">
        <f ca="1">SUM(Table63[MONTO TOTAL ESTIMADO])</f>
        <v>1500000</v>
      </c>
    </row>
    <row r="1066" spans="1:6" ht="15" thickBot="1" x14ac:dyDescent="0.35">
      <c r="A1066" s="19"/>
      <c r="B1066" s="19"/>
      <c r="C1066" s="19"/>
      <c r="D1066" s="19"/>
      <c r="E1066" s="19"/>
      <c r="F1066" s="19"/>
    </row>
    <row r="1067" spans="1:6" ht="21" thickBot="1" x14ac:dyDescent="0.35">
      <c r="A1067" s="20" t="s">
        <v>19</v>
      </c>
      <c r="B1067" s="20" t="s">
        <v>20</v>
      </c>
      <c r="C1067" s="20" t="s">
        <v>21</v>
      </c>
      <c r="D1067" s="20" t="s">
        <v>22</v>
      </c>
      <c r="E1067" s="20" t="s">
        <v>23</v>
      </c>
      <c r="F1067" s="20" t="s">
        <v>24</v>
      </c>
    </row>
    <row r="1068" spans="1:6" ht="15" thickBot="1" x14ac:dyDescent="0.35">
      <c r="A1068" s="21" t="s">
        <v>430</v>
      </c>
      <c r="B1068" s="21" t="s">
        <v>431</v>
      </c>
      <c r="C1068" s="21" t="s">
        <v>60</v>
      </c>
      <c r="D1068" s="21" t="s">
        <v>68</v>
      </c>
      <c r="E1068" s="21" t="s">
        <v>29</v>
      </c>
      <c r="F1068" s="21" t="s">
        <v>18</v>
      </c>
    </row>
    <row r="1069" spans="1:6" ht="15" thickBot="1" x14ac:dyDescent="0.35">
      <c r="A1069" s="41" t="s">
        <v>30</v>
      </c>
      <c r="B1069" s="22" t="s">
        <v>31</v>
      </c>
      <c r="C1069" s="23">
        <v>44972</v>
      </c>
      <c r="D1069" s="41" t="s">
        <v>32</v>
      </c>
      <c r="E1069" s="24" t="s">
        <v>33</v>
      </c>
      <c r="F1069" s="25" t="s">
        <v>34</v>
      </c>
    </row>
    <row r="1070" spans="1:6" ht="15" thickBot="1" x14ac:dyDescent="0.35">
      <c r="A1070" s="42"/>
      <c r="B1070" s="22" t="s">
        <v>35</v>
      </c>
      <c r="C1070" s="26">
        <f>IF(C1069="","",IF(AND(MONTH(C1069)&gt;=1,MONTH(C1069)&lt;=3),1,IF(AND(MONTH(C1069)&gt;=4,MONTH(C1069)&lt;=6),2,IF(AND(MONTH(C1069)&gt;=7,MONTH(C1069)&lt;=9),3,4))))</f>
        <v>1</v>
      </c>
      <c r="D1070" s="42"/>
      <c r="E1070" s="24" t="s">
        <v>36</v>
      </c>
      <c r="F1070" s="25" t="s">
        <v>37</v>
      </c>
    </row>
    <row r="1071" spans="1:6" ht="15" thickBot="1" x14ac:dyDescent="0.35">
      <c r="A1071" s="42"/>
      <c r="B1071" s="22" t="s">
        <v>38</v>
      </c>
      <c r="C1071" s="23">
        <v>45061</v>
      </c>
      <c r="D1071" s="42"/>
      <c r="E1071" s="24" t="s">
        <v>39</v>
      </c>
      <c r="F1071" s="25" t="s">
        <v>37</v>
      </c>
    </row>
    <row r="1072" spans="1:6" ht="15" thickBot="1" x14ac:dyDescent="0.35">
      <c r="A1072" s="42"/>
      <c r="B1072" s="22" t="s">
        <v>35</v>
      </c>
      <c r="C1072" s="26">
        <f>IF(C1071="","",IF(AND(MONTH(C1071)&gt;=1,MONTH(C1071)&lt;=3),1,IF(AND(MONTH(C1071)&gt;=4,MONTH(C1071)&lt;=6),2,IF(AND(MONTH(C1071)&gt;=7,MONTH(C1071)&lt;=9),3,4))))</f>
        <v>2</v>
      </c>
      <c r="D1072" s="42"/>
      <c r="E1072" s="24" t="s">
        <v>40</v>
      </c>
      <c r="F1072" s="25"/>
    </row>
    <row r="1073" spans="1:6" ht="15" thickBot="1" x14ac:dyDescent="0.35">
      <c r="A1073" s="19"/>
      <c r="B1073" s="19"/>
      <c r="C1073" s="19"/>
      <c r="D1073" s="19"/>
      <c r="E1073" s="19"/>
      <c r="F1073" s="19"/>
    </row>
    <row r="1074" spans="1:6" ht="15" thickBot="1" x14ac:dyDescent="0.35">
      <c r="A1074" s="27" t="s">
        <v>41</v>
      </c>
      <c r="B1074" s="27" t="s">
        <v>42</v>
      </c>
      <c r="C1074" s="27" t="s">
        <v>43</v>
      </c>
      <c r="D1074" s="27" t="s">
        <v>44</v>
      </c>
      <c r="E1074" s="27" t="s">
        <v>45</v>
      </c>
      <c r="F1074" s="27" t="s">
        <v>46</v>
      </c>
    </row>
    <row r="1075" spans="1:6" x14ac:dyDescent="0.3">
      <c r="A1075" s="28" t="s">
        <v>432</v>
      </c>
      <c r="B1075" s="29" t="str">
        <f ca="1">IFERROR(INDEX(UNSPSCDes,MATCH(INDIRECT(ADDRESS(ROW(),COLUMN()-1,4)),UNSPSCCode,0)),IF(INDIRECT(ADDRESS(ROW(),COLUMN()-1,4))="25101507","Camiones ligeros o vehículos utilitarios deportivos",""))</f>
        <v>Camiones ligeros o vehículos utilitarios deportivos</v>
      </c>
      <c r="C1075" s="30" t="str">
        <f>IFERROR(VLOOKUP("UD",'[1]Informacion '!P:Q,2,FALSE),"")</f>
        <v>Unidad</v>
      </c>
      <c r="D1075" s="28">
        <v>12</v>
      </c>
      <c r="E1075" s="31">
        <v>3135000</v>
      </c>
      <c r="F1075" s="32">
        <f ca="1">INDIRECT(ADDRESS(ROW(),COLUMN()-2,4))*INDIRECT(ADDRESS(ROW(),COLUMN()-1,4))</f>
        <v>37620000</v>
      </c>
    </row>
    <row r="1076" spans="1:6" x14ac:dyDescent="0.3">
      <c r="A1076" s="28" t="s">
        <v>433</v>
      </c>
      <c r="B1076" s="29" t="str">
        <f ca="1">IFERROR(INDEX(UNSPSCDes,MATCH(INDIRECT(ADDRESS(ROW(),COLUMN()-1,4)),UNSPSCCode,0)),IF(INDIRECT(ADDRESS(ROW(),COLUMN()-1,4))="25101501","Minibuses",""))</f>
        <v>Minibuses</v>
      </c>
      <c r="C1076" s="30" t="str">
        <f>IFERROR(VLOOKUP("UD",'[1]Informacion '!P:Q,2,FALSE),"")</f>
        <v>Unidad</v>
      </c>
      <c r="D1076" s="28">
        <v>2</v>
      </c>
      <c r="E1076" s="31">
        <v>3800000</v>
      </c>
      <c r="F1076" s="32">
        <f ca="1">INDIRECT(ADDRESS(ROW(),COLUMN()-2,4))*INDIRECT(ADDRESS(ROW(),COLUMN()-1,4))</f>
        <v>7600000</v>
      </c>
    </row>
    <row r="1077" spans="1:6" x14ac:dyDescent="0.3">
      <c r="A1077" s="28" t="s">
        <v>434</v>
      </c>
      <c r="B1077" s="29" t="str">
        <f ca="1">IFERROR(INDEX(UNSPSCDes,MATCH(INDIRECT(ADDRESS(ROW(),COLUMN()-1,4)),UNSPSCCode,0)),IF(INDIRECT(ADDRESS(ROW(),COLUMN()-1,4))="25101801","Motocicletas",""))</f>
        <v>Motocicletas</v>
      </c>
      <c r="C1077" s="30" t="str">
        <f>IFERROR(VLOOKUP("UD",'[1]Informacion '!P:Q,2,FALSE),"")</f>
        <v>Unidad</v>
      </c>
      <c r="D1077" s="28">
        <v>3</v>
      </c>
      <c r="E1077" s="31">
        <v>106050</v>
      </c>
      <c r="F1077" s="32">
        <f ca="1">INDIRECT(ADDRESS(ROW(),COLUMN()-2,4))*INDIRECT(ADDRESS(ROW(),COLUMN()-1,4))</f>
        <v>318150</v>
      </c>
    </row>
    <row r="1078" spans="1:6" x14ac:dyDescent="0.3">
      <c r="A1078" s="19"/>
      <c r="B1078" s="19"/>
      <c r="C1078" s="19"/>
      <c r="D1078" s="19"/>
      <c r="E1078" s="33" t="s">
        <v>48</v>
      </c>
      <c r="F1078" s="34">
        <f ca="1">SUM(Table64[MONTO TOTAL ESTIMADO])</f>
        <v>45538150</v>
      </c>
    </row>
    <row r="1079" spans="1:6" ht="15" thickBot="1" x14ac:dyDescent="0.35">
      <c r="A1079" s="19"/>
      <c r="B1079" s="19"/>
      <c r="C1079" s="19"/>
      <c r="D1079" s="19"/>
      <c r="E1079" s="19"/>
      <c r="F1079" s="19"/>
    </row>
    <row r="1080" spans="1:6" ht="21" thickBot="1" x14ac:dyDescent="0.35">
      <c r="A1080" s="20" t="s">
        <v>19</v>
      </c>
      <c r="B1080" s="20" t="s">
        <v>20</v>
      </c>
      <c r="C1080" s="20" t="s">
        <v>21</v>
      </c>
      <c r="D1080" s="20" t="s">
        <v>22</v>
      </c>
      <c r="E1080" s="20" t="s">
        <v>23</v>
      </c>
      <c r="F1080" s="20" t="s">
        <v>24</v>
      </c>
    </row>
    <row r="1081" spans="1:6" ht="15" thickBot="1" x14ac:dyDescent="0.35">
      <c r="A1081" s="21" t="s">
        <v>435</v>
      </c>
      <c r="B1081" s="21" t="s">
        <v>436</v>
      </c>
      <c r="C1081" s="21" t="s">
        <v>60</v>
      </c>
      <c r="D1081" s="21" t="s">
        <v>28</v>
      </c>
      <c r="E1081" s="21" t="s">
        <v>29</v>
      </c>
      <c r="F1081" s="21" t="s">
        <v>18</v>
      </c>
    </row>
    <row r="1082" spans="1:6" ht="15" thickBot="1" x14ac:dyDescent="0.35">
      <c r="A1082" s="41" t="s">
        <v>30</v>
      </c>
      <c r="B1082" s="22" t="s">
        <v>31</v>
      </c>
      <c r="C1082" s="23">
        <v>45000</v>
      </c>
      <c r="D1082" s="41" t="s">
        <v>32</v>
      </c>
      <c r="E1082" s="24" t="s">
        <v>33</v>
      </c>
      <c r="F1082" s="25" t="s">
        <v>34</v>
      </c>
    </row>
    <row r="1083" spans="1:6" ht="15" thickBot="1" x14ac:dyDescent="0.35">
      <c r="A1083" s="42"/>
      <c r="B1083" s="22" t="s">
        <v>35</v>
      </c>
      <c r="C1083" s="26">
        <f>IF(C1082="","",IF(AND(MONTH(C1082)&gt;=1,MONTH(C1082)&lt;=3),1,IF(AND(MONTH(C1082)&gt;=4,MONTH(C1082)&lt;=6),2,IF(AND(MONTH(C1082)&gt;=7,MONTH(C1082)&lt;=9),3,4))))</f>
        <v>1</v>
      </c>
      <c r="D1083" s="42"/>
      <c r="E1083" s="24" t="s">
        <v>36</v>
      </c>
      <c r="F1083" s="25" t="s">
        <v>37</v>
      </c>
    </row>
    <row r="1084" spans="1:6" ht="15" thickBot="1" x14ac:dyDescent="0.35">
      <c r="A1084" s="42"/>
      <c r="B1084" s="22" t="s">
        <v>38</v>
      </c>
      <c r="C1084" s="23">
        <v>45061</v>
      </c>
      <c r="D1084" s="42"/>
      <c r="E1084" s="24" t="s">
        <v>39</v>
      </c>
      <c r="F1084" s="25" t="s">
        <v>37</v>
      </c>
    </row>
    <row r="1085" spans="1:6" ht="15" thickBot="1" x14ac:dyDescent="0.35">
      <c r="A1085" s="42"/>
      <c r="B1085" s="22" t="s">
        <v>35</v>
      </c>
      <c r="C1085" s="26">
        <f>IF(C1084="","",IF(AND(MONTH(C1084)&gt;=1,MONTH(C1084)&lt;=3),1,IF(AND(MONTH(C1084)&gt;=4,MONTH(C1084)&lt;=6),2,IF(AND(MONTH(C1084)&gt;=7,MONTH(C1084)&lt;=9),3,4))))</f>
        <v>2</v>
      </c>
      <c r="D1085" s="42"/>
      <c r="E1085" s="24" t="s">
        <v>40</v>
      </c>
      <c r="F1085" s="25"/>
    </row>
    <row r="1086" spans="1:6" ht="15" thickBot="1" x14ac:dyDescent="0.35">
      <c r="A1086" s="19"/>
      <c r="B1086" s="19"/>
      <c r="C1086" s="19"/>
      <c r="D1086" s="19"/>
      <c r="E1086" s="19"/>
      <c r="F1086" s="19"/>
    </row>
    <row r="1087" spans="1:6" ht="15" thickBot="1" x14ac:dyDescent="0.35">
      <c r="A1087" s="27" t="s">
        <v>41</v>
      </c>
      <c r="B1087" s="27" t="s">
        <v>42</v>
      </c>
      <c r="C1087" s="27" t="s">
        <v>43</v>
      </c>
      <c r="D1087" s="27" t="s">
        <v>44</v>
      </c>
      <c r="E1087" s="27" t="s">
        <v>45</v>
      </c>
      <c r="F1087" s="27" t="s">
        <v>46</v>
      </c>
    </row>
    <row r="1088" spans="1:6" x14ac:dyDescent="0.3">
      <c r="A1088" s="28" t="s">
        <v>437</v>
      </c>
      <c r="B1088" s="29" t="str">
        <f ca="1">IFERROR(INDEX(UNSPSCDes,MATCH(INDIRECT(ADDRESS(ROW(),COLUMN()-1,4)),UNSPSCCode,0)),IF(INDIRECT(ADDRESS(ROW(),COLUMN()-1,4))="45111609","Proyectores multimedia",""))</f>
        <v>Proyectores multimedia</v>
      </c>
      <c r="C1088" s="30" t="str">
        <f>IFERROR(VLOOKUP("UD",'[1]Informacion '!P:Q,2,FALSE),"")</f>
        <v>Unidad</v>
      </c>
      <c r="D1088" s="28">
        <v>4</v>
      </c>
      <c r="E1088" s="31">
        <v>65000</v>
      </c>
      <c r="F1088" s="32">
        <f ca="1">INDIRECT(ADDRESS(ROW(),COLUMN()-2,4))*INDIRECT(ADDRESS(ROW(),COLUMN()-1,4))</f>
        <v>260000</v>
      </c>
    </row>
    <row r="1089" spans="1:6" x14ac:dyDescent="0.3">
      <c r="A1089" s="28" t="s">
        <v>438</v>
      </c>
      <c r="B1089" s="29" t="str">
        <f ca="1">IFERROR(INDEX(UNSPSCDes,MATCH(INDIRECT(ADDRESS(ROW(),COLUMN()-1,4)),UNSPSCCode,0)),IF(INDIRECT(ADDRESS(ROW(),COLUMN()-1,4))="45111603","Pantallas o desplegadores para proyección",""))</f>
        <v>Pantallas o desplegadores para proyección</v>
      </c>
      <c r="C1089" s="30" t="str">
        <f>IFERROR(VLOOKUP("UD",'[1]Informacion '!P:Q,2,FALSE),"")</f>
        <v>Unidad</v>
      </c>
      <c r="D1089" s="28">
        <v>2</v>
      </c>
      <c r="E1089" s="31">
        <v>43000</v>
      </c>
      <c r="F1089" s="32">
        <f ca="1">INDIRECT(ADDRESS(ROW(),COLUMN()-2,4))*INDIRECT(ADDRESS(ROW(),COLUMN()-1,4))</f>
        <v>86000</v>
      </c>
    </row>
    <row r="1090" spans="1:6" x14ac:dyDescent="0.3">
      <c r="A1090" s="19"/>
      <c r="B1090" s="19"/>
      <c r="C1090" s="19"/>
      <c r="D1090" s="19"/>
      <c r="E1090" s="33" t="s">
        <v>48</v>
      </c>
      <c r="F1090" s="34">
        <f ca="1">SUM(Table65[MONTO TOTAL ESTIMADO])</f>
        <v>346000</v>
      </c>
    </row>
    <row r="1091" spans="1:6" ht="15" thickBot="1" x14ac:dyDescent="0.35">
      <c r="A1091" s="19"/>
      <c r="B1091" s="19"/>
      <c r="C1091" s="19"/>
      <c r="D1091" s="19"/>
      <c r="E1091" s="19"/>
      <c r="F1091" s="19"/>
    </row>
    <row r="1092" spans="1:6" ht="21" thickBot="1" x14ac:dyDescent="0.35">
      <c r="A1092" s="20" t="s">
        <v>19</v>
      </c>
      <c r="B1092" s="20" t="s">
        <v>20</v>
      </c>
      <c r="C1092" s="20" t="s">
        <v>21</v>
      </c>
      <c r="D1092" s="20" t="s">
        <v>22</v>
      </c>
      <c r="E1092" s="20" t="s">
        <v>23</v>
      </c>
      <c r="F1092" s="20" t="s">
        <v>24</v>
      </c>
    </row>
    <row r="1093" spans="1:6" ht="15" thickBot="1" x14ac:dyDescent="0.35">
      <c r="A1093" s="21" t="s">
        <v>439</v>
      </c>
      <c r="B1093" s="21" t="s">
        <v>440</v>
      </c>
      <c r="C1093" s="21" t="s">
        <v>27</v>
      </c>
      <c r="D1093" s="21" t="s">
        <v>28</v>
      </c>
      <c r="E1093" s="21" t="s">
        <v>54</v>
      </c>
      <c r="F1093" s="21" t="s">
        <v>18</v>
      </c>
    </row>
    <row r="1094" spans="1:6" ht="15" thickBot="1" x14ac:dyDescent="0.35">
      <c r="A1094" s="41" t="s">
        <v>30</v>
      </c>
      <c r="B1094" s="22" t="s">
        <v>31</v>
      </c>
      <c r="C1094" s="23">
        <v>45000</v>
      </c>
      <c r="D1094" s="41" t="s">
        <v>32</v>
      </c>
      <c r="E1094" s="24" t="s">
        <v>33</v>
      </c>
      <c r="F1094" s="25" t="s">
        <v>34</v>
      </c>
    </row>
    <row r="1095" spans="1:6" ht="15" thickBot="1" x14ac:dyDescent="0.35">
      <c r="A1095" s="42"/>
      <c r="B1095" s="22" t="s">
        <v>35</v>
      </c>
      <c r="C1095" s="26">
        <f>IF(C1094="","",IF(AND(MONTH(C1094)&gt;=1,MONTH(C1094)&lt;=3),1,IF(AND(MONTH(C1094)&gt;=4,MONTH(C1094)&lt;=6),2,IF(AND(MONTH(C1094)&gt;=7,MONTH(C1094)&lt;=9),3,4))))</f>
        <v>1</v>
      </c>
      <c r="D1095" s="42"/>
      <c r="E1095" s="24" t="s">
        <v>36</v>
      </c>
      <c r="F1095" s="25" t="s">
        <v>37</v>
      </c>
    </row>
    <row r="1096" spans="1:6" ht="15" thickBot="1" x14ac:dyDescent="0.35">
      <c r="A1096" s="42"/>
      <c r="B1096" s="22" t="s">
        <v>38</v>
      </c>
      <c r="C1096" s="23">
        <v>45061</v>
      </c>
      <c r="D1096" s="42"/>
      <c r="E1096" s="24" t="s">
        <v>39</v>
      </c>
      <c r="F1096" s="25" t="s">
        <v>37</v>
      </c>
    </row>
    <row r="1097" spans="1:6" ht="15" thickBot="1" x14ac:dyDescent="0.35">
      <c r="A1097" s="42"/>
      <c r="B1097" s="22" t="s">
        <v>35</v>
      </c>
      <c r="C1097" s="26">
        <f>IF(C1096="","",IF(AND(MONTH(C1096)&gt;=1,MONTH(C1096)&lt;=3),1,IF(AND(MONTH(C1096)&gt;=4,MONTH(C1096)&lt;=6),2,IF(AND(MONTH(C1096)&gt;=7,MONTH(C1096)&lt;=9),3,4))))</f>
        <v>2</v>
      </c>
      <c r="D1097" s="42"/>
      <c r="E1097" s="24" t="s">
        <v>40</v>
      </c>
      <c r="F1097" s="25"/>
    </row>
    <row r="1098" spans="1:6" ht="15" thickBot="1" x14ac:dyDescent="0.35">
      <c r="A1098" s="19"/>
      <c r="B1098" s="19"/>
      <c r="C1098" s="19"/>
      <c r="D1098" s="19"/>
      <c r="E1098" s="19"/>
      <c r="F1098" s="19"/>
    </row>
    <row r="1099" spans="1:6" ht="15" thickBot="1" x14ac:dyDescent="0.35">
      <c r="A1099" s="27" t="s">
        <v>41</v>
      </c>
      <c r="B1099" s="27" t="s">
        <v>42</v>
      </c>
      <c r="C1099" s="27" t="s">
        <v>43</v>
      </c>
      <c r="D1099" s="27" t="s">
        <v>44</v>
      </c>
      <c r="E1099" s="27" t="s">
        <v>45</v>
      </c>
      <c r="F1099" s="27" t="s">
        <v>46</v>
      </c>
    </row>
    <row r="1100" spans="1:6" ht="20.399999999999999" x14ac:dyDescent="0.3">
      <c r="A1100" s="28" t="s">
        <v>441</v>
      </c>
      <c r="B1100" s="29" t="str">
        <f ca="1">IFERROR(INDEX(UNSPSCDes,MATCH(INDIRECT(ADDRESS(ROW(),COLUMN()-1,4)),UNSPSCCode,0)),IF(INDIRECT(ADDRESS(ROW(),COLUMN()-1,4))="72102302","Instalación, reparación o mantenimiento de sistemas de calefacción",""))</f>
        <v>Instalación, reparación o mantenimiento de sistemas de calefacción</v>
      </c>
      <c r="C1100" s="30" t="str">
        <f>IFERROR(VLOOKUP("PAQ",'[1]Informacion '!P:Q,2,FALSE),"")</f>
        <v>Paquete</v>
      </c>
      <c r="D1100" s="28">
        <v>1</v>
      </c>
      <c r="E1100" s="31">
        <v>1500000</v>
      </c>
      <c r="F1100" s="32">
        <f ca="1">INDIRECT(ADDRESS(ROW(),COLUMN()-2,4))*INDIRECT(ADDRESS(ROW(),COLUMN()-1,4))</f>
        <v>1500000</v>
      </c>
    </row>
    <row r="1101" spans="1:6" x14ac:dyDescent="0.3">
      <c r="A1101" s="19"/>
      <c r="B1101" s="19"/>
      <c r="C1101" s="19"/>
      <c r="D1101" s="19"/>
      <c r="E1101" s="33" t="s">
        <v>48</v>
      </c>
      <c r="F1101" s="34">
        <f ca="1">SUM(Table66[MONTO TOTAL ESTIMADO])</f>
        <v>1500000</v>
      </c>
    </row>
    <row r="1102" spans="1:6" x14ac:dyDescent="0.3">
      <c r="A1102" s="19"/>
      <c r="B1102" s="19"/>
      <c r="C1102" s="19"/>
      <c r="D1102" s="19"/>
      <c r="E1102" s="19"/>
      <c r="F1102" s="19"/>
    </row>
  </sheetData>
  <protectedRanges>
    <protectedRange sqref="F5" name="Rango3"/>
    <protectedRange sqref="E11:E12" name="Rango2"/>
  </protectedRanges>
  <mergeCells count="136">
    <mergeCell ref="A1082:A1085"/>
    <mergeCell ref="D1082:D1085"/>
    <mergeCell ref="A1094:A1097"/>
    <mergeCell ref="D1094:D1097"/>
    <mergeCell ref="A1044:A1047"/>
    <mergeCell ref="D1044:D1047"/>
    <mergeCell ref="A1057:A1060"/>
    <mergeCell ref="D1057:D1060"/>
    <mergeCell ref="A1069:A1072"/>
    <mergeCell ref="D1069:D1072"/>
    <mergeCell ref="A1010:A1013"/>
    <mergeCell ref="D1010:D1013"/>
    <mergeCell ref="A1021:A1024"/>
    <mergeCell ref="D1021:D1024"/>
    <mergeCell ref="A1032:A1035"/>
    <mergeCell ref="D1032:D1035"/>
    <mergeCell ref="A959:A962"/>
    <mergeCell ref="D959:D962"/>
    <mergeCell ref="A983:A986"/>
    <mergeCell ref="D983:D986"/>
    <mergeCell ref="A994:A997"/>
    <mergeCell ref="D994:D997"/>
    <mergeCell ref="A883:A886"/>
    <mergeCell ref="D883:D886"/>
    <mergeCell ref="A902:A905"/>
    <mergeCell ref="D902:D905"/>
    <mergeCell ref="A939:A942"/>
    <mergeCell ref="D939:D942"/>
    <mergeCell ref="A795:A798"/>
    <mergeCell ref="D795:D798"/>
    <mergeCell ref="A848:A851"/>
    <mergeCell ref="D848:D851"/>
    <mergeCell ref="A859:A862"/>
    <mergeCell ref="D859:D862"/>
    <mergeCell ref="A704:A707"/>
    <mergeCell ref="D704:D707"/>
    <mergeCell ref="A738:A741"/>
    <mergeCell ref="D738:D741"/>
    <mergeCell ref="A772:A775"/>
    <mergeCell ref="D772:D775"/>
    <mergeCell ref="A622:A625"/>
    <mergeCell ref="D622:D625"/>
    <mergeCell ref="A633:A636"/>
    <mergeCell ref="D633:D636"/>
    <mergeCell ref="A644:A647"/>
    <mergeCell ref="D644:D647"/>
    <mergeCell ref="A497:A500"/>
    <mergeCell ref="D497:D500"/>
    <mergeCell ref="A508:A511"/>
    <mergeCell ref="D508:D511"/>
    <mergeCell ref="A565:A568"/>
    <mergeCell ref="D565:D568"/>
    <mergeCell ref="A457:A460"/>
    <mergeCell ref="D457:D460"/>
    <mergeCell ref="A470:A473"/>
    <mergeCell ref="D470:D473"/>
    <mergeCell ref="A483:A486"/>
    <mergeCell ref="D483:D486"/>
    <mergeCell ref="A418:A421"/>
    <mergeCell ref="D418:D421"/>
    <mergeCell ref="A430:A433"/>
    <mergeCell ref="D430:D433"/>
    <mergeCell ref="A444:A447"/>
    <mergeCell ref="D444:D447"/>
    <mergeCell ref="A380:A383"/>
    <mergeCell ref="D380:D383"/>
    <mergeCell ref="A395:A398"/>
    <mergeCell ref="D395:D398"/>
    <mergeCell ref="A406:A409"/>
    <mergeCell ref="D406:D409"/>
    <mergeCell ref="A335:A338"/>
    <mergeCell ref="D335:D338"/>
    <mergeCell ref="A352:A355"/>
    <mergeCell ref="D352:D355"/>
    <mergeCell ref="A366:A369"/>
    <mergeCell ref="D366:D369"/>
    <mergeCell ref="A286:A289"/>
    <mergeCell ref="D286:D289"/>
    <mergeCell ref="A297:A300"/>
    <mergeCell ref="D297:D300"/>
    <mergeCell ref="A316:A319"/>
    <mergeCell ref="D316:D319"/>
    <mergeCell ref="A247:A250"/>
    <mergeCell ref="D247:D250"/>
    <mergeCell ref="A259:A262"/>
    <mergeCell ref="D259:D262"/>
    <mergeCell ref="A272:A275"/>
    <mergeCell ref="D272:D275"/>
    <mergeCell ref="A214:A217"/>
    <mergeCell ref="D214:D217"/>
    <mergeCell ref="A225:A228"/>
    <mergeCell ref="D225:D228"/>
    <mergeCell ref="A236:A239"/>
    <mergeCell ref="D236:D239"/>
    <mergeCell ref="A180:A183"/>
    <mergeCell ref="D180:D183"/>
    <mergeCell ref="A191:A194"/>
    <mergeCell ref="D191:D194"/>
    <mergeCell ref="A202:A205"/>
    <mergeCell ref="D202:D205"/>
    <mergeCell ref="A129:A132"/>
    <mergeCell ref="D129:D132"/>
    <mergeCell ref="A140:A143"/>
    <mergeCell ref="D140:D143"/>
    <mergeCell ref="A160:A163"/>
    <mergeCell ref="D160:D163"/>
    <mergeCell ref="A107:A110"/>
    <mergeCell ref="D107:D110"/>
    <mergeCell ref="A118:A121"/>
    <mergeCell ref="D118:D121"/>
    <mergeCell ref="A63:A66"/>
    <mergeCell ref="D63:D66"/>
    <mergeCell ref="A74:A77"/>
    <mergeCell ref="D74:D77"/>
    <mergeCell ref="A85:A88"/>
    <mergeCell ref="D85:D88"/>
    <mergeCell ref="A52:A55"/>
    <mergeCell ref="D52:D55"/>
    <mergeCell ref="E9:F9"/>
    <mergeCell ref="E10:F10"/>
    <mergeCell ref="E11:F11"/>
    <mergeCell ref="E12:F12"/>
    <mergeCell ref="A17:A20"/>
    <mergeCell ref="D17:D20"/>
    <mergeCell ref="A96:A99"/>
    <mergeCell ref="D96:D99"/>
    <mergeCell ref="A1:A4"/>
    <mergeCell ref="B2:E2"/>
    <mergeCell ref="B3:E3"/>
    <mergeCell ref="E6:F6"/>
    <mergeCell ref="E7:F7"/>
    <mergeCell ref="E8:F8"/>
    <mergeCell ref="A28:A31"/>
    <mergeCell ref="D28:D31"/>
    <mergeCell ref="A39:A42"/>
    <mergeCell ref="D39:D42"/>
  </mergeCells>
  <dataValidations count="12">
    <dataValidation type="whole" allowBlank="1" showInputMessage="1" showErrorMessage="1" sqref="E11:F11" xr:uid="{7440B808-9822-4BF4-A941-F53A0E732667}">
      <formula1>1900</formula1>
      <formula2>3000</formula2>
    </dataValidation>
    <dataValidation type="date" operator="greaterThan" allowBlank="1" showInputMessage="1" showErrorMessage="1" sqref="E12:F12" xr:uid="{498F9645-597D-44E0-B547-F5F3AF817754}">
      <formula1>36526</formula1>
    </dataValidation>
    <dataValidation operator="greaterThan" allowBlank="1" showInputMessage="1" showErrorMessage="1" sqref="E10:F10" xr:uid="{7B162335-B50F-440B-A79A-2D0716E61100}"/>
    <dataValidation type="date" operator="lessThanOrEqual" allowBlank="1" showInputMessage="1" showErrorMessage="1" sqref="C17 C1094 C1082 C1069 C1057 C1044 C1032 C1021 C1010 C994 C983 C959 C939 C902 C883 C859 C848 C795 C772 C738 C704 C644 C633 C622 C565 C508 C497 C483 C470 C457 C444 C430 C418 C406 C395 C380 C366 C352 C335 C316 C297 C286 C272 C259 C247 C236 C225 C214 C202 C191 C180 C160 C140 C129 C118 C107 C96 C85 C74 C63 C52 C39 C28" xr:uid="{D066253A-FD8B-4DEE-972A-DFCFAFF22B7E}">
      <formula1>C19</formula1>
    </dataValidation>
    <dataValidation type="date" operator="greaterThanOrEqual" allowBlank="1" showInputMessage="1" showErrorMessage="1" sqref="C19 C1096 C1084 C1071 C1059 C1046 C1034 C1023 C1012 C996 C985 C961 C941 C904 C885 C861 C850 C797 C774 C740 C706 C646 C635 C624 C567 C510 C499 C485 C472 C459 C446 C432 C420 C408 C397 C382 C368 C354 C337 C318 C299 C288 C274 C261 C249 C238 C227 C216 C204 C193 C182 C162 C142 C131 C120 C109 C98 C87 C76 C65 C54 C41 C30" xr:uid="{6C9E61B5-BD7A-4FFC-B4D5-05B982A1FA9F}">
      <formula1>C17</formula1>
    </dataValidation>
    <dataValidation type="list" allowBlank="1" showInputMessage="1" showErrorMessage="1" sqref="F17 F1094 F1082 F1069 F1057 F1044 F1032 F1021 F1010 F994 F983 F959 F939 F902 F883 F859 F848 F795 F772 F738 F704 F644 F633 F622 F565 F508 F497 F483 F470 F457 F444 F430 F418 F406 F395 F380 F366 F352 F335 F316 F297 F286 F272 F259 F247 F236 F225 F214 F202 F191 F180 F160 F140 F129 F118 F107 F96 F85 F74 F63 F52 F39 F28" xr:uid="{4F6CCD3B-42E9-4666-9E82-4C169CB866EC}">
      <formula1>IF(INDIRECT(ADDRESS(ROW()+1,COLUMN(),4))="",RegionList,INDEX(RegionColumn,MATCH(INDIRECT(ADDRESS(ROW()+1,COLUMN(),4)),ProvinciaList,0)))</formula1>
    </dataValidation>
    <dataValidation type="list" allowBlank="1" showInputMessage="1" showErrorMessage="1" sqref="F18 F1095 F1083 F1070 F1058 F1045 F1033 F1022 F1011 F995 F984 F960 F940 F903 F884 F860 F849 F796 F773 F739 F705 F645 F634 F623 F566 F509 F498 F484 F471 F458 F445 F431 F419 F407 F396 F381 F367 F353 F336 F317 F298 F287 F273 F260 F248 F237 F226 F215 F203 F192 F181 F161 F141 F130 F119 F108 F97 F86 F75 F64 F53 F40 F29" xr:uid="{CC2F3A82-1735-4EEF-8958-5B8C3AD9AC11}">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096 F1084 F1071 F1059 F1046 F1034 F1023 F1012 F996 F985 F961 F941 F904 F885 F861 F850 F797 F774 F740 F706 F646 F635 F624 F567 F510 F499 F485 F472 F459 F446 F432 F420 F408 F397 F382 F368 F354 F337 F318 F299 F288 F274 F261 F249 F238 F227 F216 F204 F193 F182 F162 F142 F131 F120 F109 F98 F87 F76 F65 F54 F41 F30" xr:uid="{39B3F727-84FC-45BB-8729-3A6C4C96C794}">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097 F1085 F1072 F1060 F1047 F1035 F1024 F1013 F997 F986 F962 F942 F905 F886 F862 F851 F798 F775 F741 F707 F647 F636 F625 F568 F511 F500 F486 F473 F460 F447 F433 F421 F409 F398 F383 F369 F355 F338 F319 F300 F289 F275 F262 F250 F239 F228 F217 F205 F194 F183 F163 F143 F132 F121 F110 F99 F88 F77 F66 F55 F42 F31" xr:uid="{49545AEA-9334-4DBB-BAB1-1B4A6572CF3E}">
      <formula1>OFFSET(MunicipioStart,MATCH(INDIRECT(ADDRESS(ROW()-1,COLUMN(),4)),MunicipioColumn,0)-1,1,COUNTIF(MunicipioColumn,INDIRECT(ADDRESS(ROW()-1,COLUMN(),4))),1)</formula1>
    </dataValidation>
    <dataValidation type="whole" operator="greaterThan" allowBlank="1" showInputMessage="1" showErrorMessage="1" sqref="A23 A1100 A1088:A1089 A1075:A1077 A1063:A1064 A1050:A1052 A1038:A1039 A1027 A1016 A1000:A1005 A989 A965:A978 A945:A954 A908:A934 A889:A897 A865:A878 A854 A801:A843 A778:A790 A744:A767 A710:A733 A650:A699 A639 A628 A571:A617 A514:A560 A503 A489:A492 A476:A478 A463:A465 A450:A452 A436:A439 A424:A425 A412:A413 A401 A386:A390 A372:A375 A358:A361 A341:A347 A322:A330 A303:A311 A292 A278:A281 A265:A267 A253:A254 A242 A231 A220 A208:A209 A197 A186 A166:A175 A146:A155 A135 A124 A113 A102 A91 A80 A69 A58 A45:A47 A34" xr:uid="{EA61AF46-D364-4FBD-85EA-F1A563CBEF3B}">
      <formula1>0</formula1>
    </dataValidation>
    <dataValidation type="list" allowBlank="1" showInputMessage="1" showErrorMessage="1" sqref="C23 C1100 C1088:C1089 C1075:C1077 C1063:C1064 C1050:C1052 C1038:C1039 C1027 C1016 C1000:C1005 C989 C965:C978 C945:C954 C908:C934 C889:C897 C865:C878 C854 C801:C843 C778:C790 C744:C767 C710:C733 C650:C699 C639 C628 C571:C617 C514:C560 C503 C489:C492 C476:C478 C463:C465 C450:C452 C436:C439 C424:C425 C412:C413 C401 C386:C390 C372:C375 C358:C361 C341:C347 C322:C330 C303:C311 C292 C278:C281 C265:C267 C253:C254 C242 C231 C220 C208:C209 C197 C186 C166:C175 C146:C155 C135 C124 C113 C102 C91 C80 C69 C58 C45:C47 C34" xr:uid="{B3E7428B-C9A7-45B6-B76A-7A09FEBC0C99}">
      <formula1>UnidadesList</formula1>
    </dataValidation>
    <dataValidation type="decimal" operator="greaterThan" allowBlank="1" showInputMessage="1" showErrorMessage="1" sqref="D1100:E1100 D1088:E1089 D1075:E1077 D1063:E1064 D1050:E1052 D1038:E1039 D1027:E1027 D1016:E1016 D1000:E1005 D989:E989 D965:E978 D945:E954 D908:E934 D889:E897 D865:E878 D854:E854 D801:E843 D778:E790 D744:E767 D710:E733 D650:E699 D639:E639 D628:E628 D571:E617 D514:E560 D503:E503 D489:E492 D476:E478 D463:E465 D450:E452 D436:E439 D424:E425 D412:E413 D401:E401 D386:E390 D372:E375 D358:E361 D341:E347 D322:E330 D303:E311 D292:E292 D278:E281 D265:E267 D253:E254 D242:E242 D231:E231 D220:E220 D208:E209 D197:E197 D186:E186 D166:E175 D146:E155 D135:E135 D124:E124 D113:E113 D102:E102 D91:E91 D80:E80 D69:E69 D58:E58 D45:E47 D34:E34 D23:E23" xr:uid="{EB0FB86F-7CF7-483F-BB9C-196ABC46220A}">
      <formula1>0</formula1>
    </dataValidation>
  </dataValidations>
  <pageMargins left="0.375" right="0.35" top="0.75" bottom="0.75" header="0.3" footer="0.3"/>
  <pageSetup paperSize="5" orientation="landscape" r:id="rId1"/>
  <drawing r:id="rId2"/>
  <legacyDrawing r:id="rId3"/>
  <tableParts count="6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TotalEstColumnName</vt:lpstr>
      <vt:lpstr>TotalEstColumnValue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Florian Diaz</dc:creator>
  <cp:lastModifiedBy>Javier Florian Diaz</cp:lastModifiedBy>
  <dcterms:created xsi:type="dcterms:W3CDTF">2023-02-03T20:35:25Z</dcterms:created>
  <dcterms:modified xsi:type="dcterms:W3CDTF">2023-02-03T20:44:56Z</dcterms:modified>
</cp:coreProperties>
</file>