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2022/PORTAL TRANSPARENCIA UTECT 2022/PRESUPUESTO/3. Ejecucion Presupuestaria/"/>
    </mc:Choice>
  </mc:AlternateContent>
  <xr:revisionPtr revIDLastSave="0" documentId="8_{38D9C000-3B63-413E-A578-2C6E479C71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nero-Diciembre" sheetId="2" r:id="rId1"/>
  </sheets>
  <definedNames>
    <definedName name="_xlnm.Print_Area" localSheetId="0">'Enero-Diciembre'!$A$1:$Q$170</definedName>
    <definedName name="_xlnm.Print_Titles" localSheetId="0">'Enero-Diciembre'!$1:$16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2" l="1"/>
  <c r="P114" i="2"/>
  <c r="P104" i="2"/>
  <c r="P102" i="2"/>
  <c r="P100" i="2"/>
  <c r="P97" i="2"/>
  <c r="P96" i="2"/>
  <c r="P94" i="2"/>
  <c r="P93" i="2"/>
  <c r="P90" i="2"/>
  <c r="P86" i="2"/>
  <c r="P77" i="2"/>
  <c r="P67" i="2"/>
  <c r="P64" i="2"/>
  <c r="P61" i="2"/>
  <c r="P60" i="2"/>
  <c r="P58" i="2"/>
  <c r="P57" i="2"/>
  <c r="P55" i="2"/>
  <c r="P48" i="2"/>
  <c r="P44" i="2"/>
  <c r="P40" i="2"/>
  <c r="P37" i="2"/>
  <c r="P33" i="2"/>
  <c r="D87" i="2" l="1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20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110" i="2"/>
  <c r="P95" i="2"/>
  <c r="P92" i="2"/>
  <c r="P87" i="2"/>
  <c r="P82" i="2"/>
  <c r="P75" i="2"/>
  <c r="P70" i="2"/>
  <c r="P66" i="2"/>
  <c r="P62" i="2"/>
  <c r="P56" i="2"/>
  <c r="P53" i="2"/>
  <c r="P50" i="2"/>
  <c r="P45" i="2"/>
  <c r="P42" i="2"/>
  <c r="P39" i="2"/>
  <c r="P36" i="2"/>
  <c r="P31" i="2"/>
  <c r="P26" i="2"/>
  <c r="P24" i="2"/>
  <c r="P19" i="2"/>
  <c r="O39" i="2"/>
  <c r="O143" i="2"/>
  <c r="O139" i="2"/>
  <c r="O135" i="2"/>
  <c r="O129" i="2"/>
  <c r="O125" i="2"/>
  <c r="O119" i="2"/>
  <c r="O110" i="2"/>
  <c r="O104" i="2"/>
  <c r="O95" i="2"/>
  <c r="O92" i="2"/>
  <c r="O87" i="2"/>
  <c r="O82" i="2"/>
  <c r="O75" i="2"/>
  <c r="O70" i="2"/>
  <c r="O66" i="2"/>
  <c r="O62" i="2"/>
  <c r="O56" i="2"/>
  <c r="O53" i="2"/>
  <c r="O50" i="2"/>
  <c r="O45" i="2"/>
  <c r="O42" i="2"/>
  <c r="O36" i="2"/>
  <c r="O31" i="2"/>
  <c r="O26" i="2"/>
  <c r="O24" i="2"/>
  <c r="O19" i="2"/>
  <c r="O103" i="2" l="1"/>
  <c r="P103" i="2"/>
  <c r="O18" i="2"/>
  <c r="P145" i="2"/>
  <c r="O65" i="2"/>
  <c r="O30" i="2"/>
  <c r="P65" i="2"/>
  <c r="P30" i="2"/>
  <c r="P18" i="2"/>
  <c r="Q39" i="2"/>
  <c r="O145" i="2"/>
  <c r="O131" i="2" l="1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10" i="2"/>
  <c r="N104" i="2"/>
  <c r="N95" i="2"/>
  <c r="N92" i="2"/>
  <c r="N87" i="2"/>
  <c r="N82" i="2"/>
  <c r="N75" i="2"/>
  <c r="N70" i="2"/>
  <c r="N66" i="2"/>
  <c r="N62" i="2"/>
  <c r="N56" i="2"/>
  <c r="N53" i="2"/>
  <c r="N50" i="2"/>
  <c r="N45" i="2"/>
  <c r="N42" i="2"/>
  <c r="N39" i="2"/>
  <c r="N36" i="2"/>
  <c r="N31" i="2"/>
  <c r="N26" i="2"/>
  <c r="N24" i="2"/>
  <c r="N19" i="2"/>
  <c r="N103" i="2" l="1"/>
  <c r="N145" i="2"/>
  <c r="N65" i="2"/>
  <c r="N30" i="2"/>
  <c r="N18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10" i="2"/>
  <c r="M104" i="2"/>
  <c r="M95" i="2"/>
  <c r="M92" i="2"/>
  <c r="M87" i="2"/>
  <c r="M82" i="2"/>
  <c r="M75" i="2"/>
  <c r="M70" i="2"/>
  <c r="M66" i="2"/>
  <c r="M56" i="2"/>
  <c r="M53" i="2"/>
  <c r="M50" i="2"/>
  <c r="M45" i="2"/>
  <c r="M42" i="2"/>
  <c r="M39" i="2"/>
  <c r="M36" i="2"/>
  <c r="M31" i="2"/>
  <c r="M26" i="2"/>
  <c r="M24" i="2"/>
  <c r="M19" i="2"/>
  <c r="M103" i="2" l="1"/>
  <c r="N131" i="2"/>
  <c r="N147" i="2" s="1"/>
  <c r="M145" i="2"/>
  <c r="M18" i="2"/>
  <c r="M65" i="2"/>
  <c r="M30" i="2"/>
  <c r="Q75" i="2"/>
  <c r="M131" i="2" l="1"/>
  <c r="M147" i="2" s="1"/>
  <c r="L143" i="2"/>
  <c r="L139" i="2"/>
  <c r="L135" i="2"/>
  <c r="L125" i="2"/>
  <c r="L119" i="2"/>
  <c r="L110" i="2"/>
  <c r="L104" i="2"/>
  <c r="L103" i="2" s="1"/>
  <c r="L95" i="2"/>
  <c r="L92" i="2"/>
  <c r="L87" i="2"/>
  <c r="L82" i="2"/>
  <c r="L75" i="2"/>
  <c r="L70" i="2"/>
  <c r="L66" i="2"/>
  <c r="L56" i="2"/>
  <c r="L53" i="2"/>
  <c r="L50" i="2"/>
  <c r="L45" i="2"/>
  <c r="L42" i="2"/>
  <c r="L39" i="2"/>
  <c r="L36" i="2"/>
  <c r="L31" i="2"/>
  <c r="L26" i="2"/>
  <c r="L24" i="2"/>
  <c r="L19" i="2"/>
  <c r="L145" i="2" l="1"/>
  <c r="L18" i="2"/>
  <c r="L65" i="2"/>
  <c r="L30" i="2"/>
  <c r="K26" i="2"/>
  <c r="K24" i="2"/>
  <c r="K19" i="2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K110" i="2"/>
  <c r="J110" i="2"/>
  <c r="I110" i="2"/>
  <c r="H110" i="2"/>
  <c r="G110" i="2"/>
  <c r="F110" i="2"/>
  <c r="E110" i="2"/>
  <c r="D110" i="2"/>
  <c r="C110" i="2"/>
  <c r="K104" i="2"/>
  <c r="J104" i="2"/>
  <c r="I104" i="2"/>
  <c r="H104" i="2"/>
  <c r="G104" i="2"/>
  <c r="F104" i="2"/>
  <c r="F103" i="2" s="1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K45" i="2"/>
  <c r="J45" i="2"/>
  <c r="I45" i="2"/>
  <c r="H45" i="2"/>
  <c r="G45" i="2"/>
  <c r="F45" i="2"/>
  <c r="E45" i="2"/>
  <c r="D45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J26" i="2"/>
  <c r="I26" i="2"/>
  <c r="H26" i="2"/>
  <c r="G26" i="2"/>
  <c r="F26" i="2"/>
  <c r="E26" i="2"/>
  <c r="C26" i="2"/>
  <c r="Q24" i="2"/>
  <c r="J24" i="2"/>
  <c r="I24" i="2"/>
  <c r="H24" i="2"/>
  <c r="G24" i="2"/>
  <c r="F24" i="2"/>
  <c r="E24" i="2"/>
  <c r="D24" i="2"/>
  <c r="C24" i="2"/>
  <c r="J19" i="2"/>
  <c r="I19" i="2"/>
  <c r="H19" i="2"/>
  <c r="G19" i="2"/>
  <c r="F19" i="2"/>
  <c r="E19" i="2"/>
  <c r="D19" i="2"/>
  <c r="C19" i="2"/>
  <c r="G103" i="2" l="1"/>
  <c r="H103" i="2"/>
  <c r="C103" i="2"/>
  <c r="I103" i="2"/>
  <c r="J103" i="2"/>
  <c r="K103" i="2"/>
  <c r="D103" i="2"/>
  <c r="D132" i="2" s="1"/>
  <c r="D133" i="2" s="1"/>
  <c r="E103" i="2"/>
  <c r="H18" i="2"/>
  <c r="D65" i="2"/>
  <c r="L131" i="2"/>
  <c r="L147" i="2" s="1"/>
  <c r="I65" i="2"/>
  <c r="E30" i="2"/>
  <c r="D18" i="2"/>
  <c r="Q139" i="2"/>
  <c r="E145" i="2"/>
  <c r="Q116" i="2"/>
  <c r="I145" i="2"/>
  <c r="Q26" i="2"/>
  <c r="E65" i="2"/>
  <c r="F18" i="2"/>
  <c r="H30" i="2"/>
  <c r="J18" i="2"/>
  <c r="D30" i="2"/>
  <c r="I30" i="2"/>
  <c r="Q53" i="2"/>
  <c r="Q135" i="2"/>
  <c r="C65" i="2"/>
  <c r="J145" i="2"/>
  <c r="K18" i="2"/>
  <c r="J65" i="2"/>
  <c r="G65" i="2"/>
  <c r="E18" i="2"/>
  <c r="I18" i="2"/>
  <c r="F30" i="2"/>
  <c r="J30" i="2"/>
  <c r="H65" i="2"/>
  <c r="C145" i="2"/>
  <c r="G145" i="2"/>
  <c r="K145" i="2"/>
  <c r="F65" i="2"/>
  <c r="F145" i="2"/>
  <c r="C18" i="2"/>
  <c r="G18" i="2"/>
  <c r="C30" i="2"/>
  <c r="G30" i="2"/>
  <c r="Q110" i="2"/>
  <c r="D145" i="2"/>
  <c r="H145" i="2"/>
  <c r="Q119" i="2"/>
  <c r="Q87" i="2"/>
  <c r="Q66" i="2"/>
  <c r="Q50" i="2"/>
  <c r="Q45" i="2"/>
  <c r="Q42" i="2"/>
  <c r="Q36" i="2"/>
  <c r="Q19" i="2"/>
  <c r="Q104" i="2"/>
  <c r="Q95" i="2"/>
  <c r="Q92" i="2"/>
  <c r="K65" i="2"/>
  <c r="Q82" i="2"/>
  <c r="Q70" i="2"/>
  <c r="Q56" i="2"/>
  <c r="K30" i="2"/>
  <c r="Q31" i="2"/>
  <c r="Q103" i="2" l="1"/>
  <c r="D131" i="2"/>
  <c r="D147" i="2" s="1"/>
  <c r="I131" i="2"/>
  <c r="I147" i="2" s="1"/>
  <c r="Q145" i="2"/>
  <c r="F131" i="2"/>
  <c r="F147" i="2" s="1"/>
  <c r="E131" i="2"/>
  <c r="H131" i="2"/>
  <c r="H147" i="2" s="1"/>
  <c r="G131" i="2"/>
  <c r="G147" i="2" s="1"/>
  <c r="Q18" i="2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sharedStrings.xml><?xml version="1.0" encoding="utf-8"?>
<sst xmlns="http://schemas.openxmlformats.org/spreadsheetml/2006/main" count="272" uniqueCount="272">
  <si>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</si>
  <si>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</si>
  <si>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</si>
  <si>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</si>
  <si>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</si>
  <si>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</si>
  <si>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</si>
  <si>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</si>
  <si>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</si>
  <si>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</si>
  <si>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</si>
  <si>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</si>
  <si>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</si>
  <si>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</si>
  <si>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</si>
  <si>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</si>
  <si>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</si>
  <si>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</si>
  <si>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</si>
  <si>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</si>
  <si>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</si>
  <si>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</si>
  <si>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</si>
  <si>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</si>
  <si>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</si>
  <si>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</si>
  <si>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</si>
  <si>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</si>
  <si>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</si>
  <si>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</si>
  <si>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</si>
  <si>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</si>
  <si>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</si>
  <si>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</si>
  <si>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</si>
  <si>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</si>
  <si>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</si>
  <si>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</si>
  <si>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</si>
  <si>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</si>
  <si>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</si>
  <si>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</si>
  <si>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</si>
  <si>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</si>
  <si>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</si>
  <si>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</si>
  <si>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</si>
  <si>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</si>
  <si>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</si>
  <si>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</si>
  <si>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</si>
  <si>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</si>
  <si>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</si>
  <si>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</si>
  <si>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</si>
  <si>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</si>
  <si>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</si>
  <si>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</si>
  <si>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</si>
  <si>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</si>
  <si>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</si>
  <si>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</si>
  <si>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</si>
  <si>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</si>
  <si>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</si>
  <si>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</si>
  <si>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</si>
  <si>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</si>
  <si>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</si>
  <si>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</si>
  <si>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</si>
  <si>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</si>
  <si>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</si>
  <si>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</si>
  <si>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</si>
  <si>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</si>
  <si>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</si>
  <si>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</si>
  <si>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</si>
  <si>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</si>
  <si>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</si>
  <si>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</si>
  <si>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</si>
  <si>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</si>
  <si>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</si>
  <si>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</si>
  <si>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</si>
  <si>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</si>
  <si>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</si>
  <si>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</si>
  <si>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</si>
  <si>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</si>
  <si>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</si>
  <si>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</si>
  <si>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</si>
  <si>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</si>
  <si>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</si>
  <si>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</si>
  <si>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</si>
  <si>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</si>
  <si>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</si>
  <si>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</si>
  <si>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</si>
  <si>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</si>
  <si>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</si>
  <si>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</si>
  <si>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</si>
  <si>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</si>
  <si>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</si>
  <si>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</si>
  <si>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</si>
  <si>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</si>
  <si>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</si>
  <si>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</si>
  <si>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</si>
  <si>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</si>
  <si>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</si>
  <si>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</si>
  <si>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</si>
  <si>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</si>
  <si>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</si>
  <si>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</si>
  <si>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</si>
  <si>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</si>
  <si>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</si>
  <si>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</si>
  <si>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</si>
  <si>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</si>
  <si>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</si>
  <si>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</si>
  <si>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</si>
  <si>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</si>
  <si>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</si>
  <si>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</si>
  <si>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</si>
  <si>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</si>
  <si>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</si>
  <si>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</si>
  <si>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</si>
  <si>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</si>
  <si>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</si>
  <si>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</si>
  <si>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</si>
  <si>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</si>
  <si>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</si>
  <si>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</si>
  <si>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</si>
  <si>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</si>
  <si>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</si>
  <si>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</si>
  <si>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</si>
  <si>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</si>
  <si>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</si>
  <si>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</si>
  <si>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</si>
  <si>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</si>
  <si>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</si>
  <si>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</si>
  <si>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</si>
  <si>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</si>
  <si>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</si>
  <si>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</si>
  <si>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</si>
  <si>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</si>
  <si>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</si>
  <si>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</si>
  <si>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</si>
  <si>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</si>
  <si>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</si>
  <si>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</si>
  <si>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</si>
  <si>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</si>
  <si>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</si>
  <si>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</si>
  <si>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</si>
  <si>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</si>
  <si>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</si>
  <si>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</si>
  <si>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</si>
  <si>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</si>
  <si>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</si>
  <si>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</si>
  <si>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</si>
  <si>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</si>
  <si>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</si>
  <si>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</si>
  <si>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</si>
  <si>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</si>
  <si>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</si>
  <si>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</si>
  <si>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</si>
  <si>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</si>
  <si>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</si>
  <si>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</si>
  <si>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</si>
  <si>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</si>
  <si>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</si>
  <si>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</si>
  <si>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</si>
  <si>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</si>
  <si>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</si>
  <si>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</si>
  <si>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</si>
  <si>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</si>
  <si>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</si>
  <si>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</si>
  <si>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</si>
  <si>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</si>
  <si>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</si>
  <si>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</si>
  <si>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</si>
  <si>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</si>
  <si>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</si>
  <si>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</si>
  <si>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</si>
  <si>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</si>
  <si>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</si>
  <si>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</si>
  <si>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</si>
  <si>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</si>
  <si>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</si>
  <si>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</si>
  <si>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</si>
  <si>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</si>
  <si>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</si>
  <si>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</si>
  <si>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</si>
  <si>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</si>
  <si>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</si>
  <si>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</si>
  <si>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</si>
  <si>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</si>
  <si>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</si>
  <si>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</si>
  <si>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</si>
  <si>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Preparado por</t>
  </si>
  <si>
    <t>Arosa Echenique</t>
  </si>
  <si>
    <t>Analista de Presupuesto</t>
  </si>
  <si>
    <t>Mildred Rodríguez</t>
  </si>
  <si>
    <t>Encargada Financiera</t>
  </si>
  <si>
    <t>Aprobado por</t>
  </si>
  <si>
    <t>José Mañón Mañón</t>
  </si>
  <si>
    <t>Encargado Administrativo y Financiero</t>
  </si>
  <si>
    <t>Agosto</t>
  </si>
  <si>
    <t>Septiembre</t>
  </si>
  <si>
    <t>2.2.9.1</t>
  </si>
  <si>
    <t>Otras contrataciones de servicios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</si>
  <si>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</si>
  <si>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</si>
  <si>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</si>
  <si>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</si>
  <si>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</si>
  <si>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</si>
  <si>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Octubre</t>
  </si>
  <si>
    <t>2.6.9</t>
  </si>
  <si>
    <t>EDIFICIOS, ESTRUCTURAS, TIERRAS, TERRENOS Y OBJETOS DE VALOR</t>
  </si>
  <si>
    <t>2.6.9.6</t>
  </si>
  <si>
    <t>Accesorios para edificaciones residenciales y no residenciales</t>
  </si>
  <si>
    <t>2.2.5.4</t>
  </si>
  <si>
    <t>Alquileres de equipos de transporte, tracción y elevación</t>
  </si>
  <si>
    <t>2.3.9.3</t>
  </si>
  <si>
    <t>Útiles menores médico, quirúrgicos o de laboratorio</t>
  </si>
  <si>
    <t>Noviembre</t>
  </si>
  <si>
    <t>2.6.2.4</t>
  </si>
  <si>
    <t>Mobiliario y equipo educacional y recreativo</t>
  </si>
  <si>
    <t>Revisado por</t>
  </si>
  <si>
    <t>2.6.8</t>
  </si>
  <si>
    <t>BIEES INTANGIBLES</t>
  </si>
  <si>
    <t>2.6.8.3</t>
  </si>
  <si>
    <t>Programas de informática y base de datos</t>
  </si>
  <si>
    <t>Diciembre</t>
  </si>
  <si>
    <t>EJECUCIÓN DE GASTOS Y APLICACIONES FINANCIERAS ENERO 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</si>
</sst>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43" fontId="6" fillId="3" borderId="0" xfId="1" applyFont="1" applyFill="1" applyAlignment="1">
      <alignment horizontal="right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4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2</xdr:row>
      <xdr:rowOff>10584</xdr:rowOff>
    </xdr:from>
    <xdr:to>
      <xdr:col>1</xdr:col>
      <xdr:colOff>1936750</xdr:colOff>
      <xdr:row>8</xdr:row>
      <xdr:rowOff>74083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306917"/>
          <a:ext cx="2201334" cy="84666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65424</xdr:colOff>
      <xdr:row>1</xdr:row>
      <xdr:rowOff>175426</xdr:rowOff>
    </xdr:from>
    <xdr:ext cx="1626946" cy="1252961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2606" y="322631"/>
          <a:ext cx="1626946" cy="12529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70"/>
  <sheetViews>
    <sheetView showGridLines="0" tabSelected="1" topLeftCell="J161" zoomScale="110" zoomScaleNormal="110" workbookViewId="0">
      <selection activeCell="O163" sqref="O163"/>
    </sheetView>
  </sheetViews>
  <sheetFormatPr defaultColWidth="8.7265625" defaultRowHeight="11.5" x14ac:dyDescent="0.35"/>
  <cols>
    <col min="1" max="1" width="7.7265625" style="2" customWidth="1"/>
    <col min="2" max="2" width="40.54296875" style="1" customWidth="1"/>
    <col min="3" max="3" width="16.81640625" style="1" bestFit="1" customWidth="1"/>
    <col min="4" max="4" width="17.7265625" style="1" bestFit="1" customWidth="1"/>
    <col min="5" max="5" width="11.54296875" style="1" customWidth="1"/>
    <col min="6" max="6" width="17.26953125" style="1" customWidth="1"/>
    <col min="7" max="7" width="15.7265625" style="1" bestFit="1" customWidth="1"/>
    <col min="8" max="8" width="15.7265625" style="1" customWidth="1"/>
    <col min="9" max="10" width="15.7265625" style="1" bestFit="1" customWidth="1"/>
    <col min="11" max="11" width="16.7265625" style="1" customWidth="1"/>
    <col min="12" max="15" width="15.7265625" style="1" bestFit="1" customWidth="1"/>
    <col min="16" max="16" width="16.7265625" style="1" customWidth="1"/>
    <col min="17" max="18" width="17.81640625" style="1" bestFit="1" customWidth="1"/>
    <col min="19" max="16384" width="8.7265625" style="1"/>
  </cols>
  <sheetData>
    <row r="2" spans="1:17" ht="20" x14ac:dyDescent="0.35">
      <c r="F2" s="47"/>
    </row>
    <row r="4" spans="1:17" ht="3" customHeight="1" x14ac:dyDescent="0.35"/>
    <row r="10" spans="1:17" x14ac:dyDescent="0.35">
      <c r="A10" s="51" t="s">
        <v>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 x14ac:dyDescent="0.35">
      <c r="A11" s="52" t="s">
        <v>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17" x14ac:dyDescent="0.35">
      <c r="A12" s="52" t="s">
        <v>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pans="1:17" x14ac:dyDescent="0.35">
      <c r="A13" s="52" t="s">
        <v>271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x14ac:dyDescent="0.35">
      <c r="A14" s="52" t="s">
        <v>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7" x14ac:dyDescent="0.35">
      <c r="B15" s="2"/>
      <c r="C15" s="3"/>
      <c r="D15" s="4"/>
      <c r="E15" s="4"/>
      <c r="F15" s="4"/>
      <c r="G15" s="4"/>
      <c r="H15" s="4"/>
      <c r="I15" s="4"/>
      <c r="J15" s="4"/>
    </row>
    <row r="16" spans="1:17" ht="29.15" customHeight="1" x14ac:dyDescent="0.35">
      <c r="A16" s="53" t="s">
        <v>4</v>
      </c>
      <c r="B16" s="54"/>
      <c r="C16" s="5" t="s">
        <v>5</v>
      </c>
      <c r="D16" s="5" t="s">
        <v>6</v>
      </c>
      <c r="E16" s="5" t="s">
        <v>7</v>
      </c>
      <c r="F16" s="5" t="s">
        <v>8</v>
      </c>
      <c r="G16" s="5" t="s">
        <v>9</v>
      </c>
      <c r="H16" s="5" t="s">
        <v>10</v>
      </c>
      <c r="I16" s="5" t="s">
        <v>11</v>
      </c>
      <c r="J16" s="5" t="s">
        <v>12</v>
      </c>
      <c r="K16" s="5" t="s">
        <v>231</v>
      </c>
      <c r="L16" s="5" t="s">
        <v>243</v>
      </c>
      <c r="M16" s="5" t="s">
        <v>244</v>
      </c>
      <c r="N16" s="5" t="s">
        <v>253</v>
      </c>
      <c r="O16" s="5" t="s">
        <v>262</v>
      </c>
      <c r="P16" s="5" t="s">
        <v>270</v>
      </c>
      <c r="Q16" s="5" t="s">
        <v>234</v>
      </c>
    </row>
    <row r="17" spans="1:17" s="6" customFormat="1" ht="19.5" customHeight="1" x14ac:dyDescent="0.35">
      <c r="A17" s="40" t="s">
        <v>13</v>
      </c>
      <c r="B17" s="41" t="s">
        <v>14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</row>
    <row r="18" spans="1:17" ht="25.5" customHeight="1" x14ac:dyDescent="0.35">
      <c r="A18" s="7">
        <v>2.1</v>
      </c>
      <c r="B18" s="7" t="s">
        <v>15</v>
      </c>
      <c r="C18" s="8">
        <f>C19+C24+C26</f>
        <v>349947861</v>
      </c>
      <c r="D18" s="8">
        <f t="shared" ref="D18:J18" si="0">D19+D24+D26</f>
        <v>-57819247.790000007</v>
      </c>
      <c r="E18" s="9">
        <f t="shared" si="0"/>
        <v>0</v>
      </c>
      <c r="F18" s="8">
        <f t="shared" si="0"/>
        <v>23157045.379999999</v>
      </c>
      <c r="G18" s="8">
        <f t="shared" si="0"/>
        <v>18605593.539999999</v>
      </c>
      <c r="H18" s="8">
        <f t="shared" si="0"/>
        <v>21458810.199999999</v>
      </c>
      <c r="I18" s="8">
        <f t="shared" si="0"/>
        <v>20061549.400000002</v>
      </c>
      <c r="J18" s="8">
        <f t="shared" si="0"/>
        <v>19641321.66</v>
      </c>
      <c r="K18" s="8">
        <f t="shared" ref="K18:Q18" si="1">K19+K24+K26</f>
        <v>22950805.210000001</v>
      </c>
      <c r="L18" s="8">
        <f t="shared" si="1"/>
        <v>23359583.470000003</v>
      </c>
      <c r="M18" s="8">
        <f t="shared" si="1"/>
        <v>22272734.300000001</v>
      </c>
      <c r="N18" s="8">
        <f t="shared" si="1"/>
        <v>22149432.309999999</v>
      </c>
      <c r="O18" s="8">
        <f t="shared" si="1"/>
        <v>40068600.109999999</v>
      </c>
      <c r="P18" s="8">
        <f t="shared" ref="P18" si="2">P19+P24+P26</f>
        <v>57902174.07</v>
      </c>
      <c r="Q18" s="8">
        <f t="shared" si="1"/>
        <v>291627649.65000004</v>
      </c>
    </row>
    <row r="19" spans="1:17" ht="25.5" customHeight="1" x14ac:dyDescent="0.35">
      <c r="A19" s="10" t="s">
        <v>16</v>
      </c>
      <c r="B19" s="11" t="s">
        <v>17</v>
      </c>
      <c r="C19" s="12">
        <f>SUM(C20:C23)</f>
        <v>261866013</v>
      </c>
      <c r="D19" s="12">
        <f t="shared" ref="D19:J19" si="3">SUM(D20:D23)</f>
        <v>-46387999.090000004</v>
      </c>
      <c r="E19" s="12">
        <f t="shared" si="3"/>
        <v>0</v>
      </c>
      <c r="F19" s="12">
        <f t="shared" si="3"/>
        <v>19453674.16</v>
      </c>
      <c r="G19" s="12">
        <f t="shared" si="3"/>
        <v>15699007.119999999</v>
      </c>
      <c r="H19" s="12">
        <f t="shared" si="3"/>
        <v>14869430.029999999</v>
      </c>
      <c r="I19" s="12">
        <f t="shared" si="3"/>
        <v>16746513.710000001</v>
      </c>
      <c r="J19" s="12">
        <f t="shared" si="3"/>
        <v>16676879.210000001</v>
      </c>
      <c r="K19" s="12">
        <f t="shared" ref="K19:Q19" si="4">SUM(K20:K23)</f>
        <v>19171907.359999999</v>
      </c>
      <c r="L19" s="12">
        <f t="shared" si="4"/>
        <v>19781418.190000001</v>
      </c>
      <c r="M19" s="12">
        <f t="shared" si="4"/>
        <v>18825691.5</v>
      </c>
      <c r="N19" s="12">
        <f t="shared" si="4"/>
        <v>18733794.899999999</v>
      </c>
      <c r="O19" s="12">
        <f t="shared" si="4"/>
        <v>36492444.149999999</v>
      </c>
      <c r="P19" s="12">
        <f t="shared" ref="P19" si="5">SUM(P20:P23)</f>
        <v>19027252.219999999</v>
      </c>
      <c r="Q19" s="12">
        <f t="shared" si="4"/>
        <v>215478012.55000001</v>
      </c>
    </row>
    <row r="20" spans="1:17" ht="25.5" customHeight="1" x14ac:dyDescent="0.35">
      <c r="A20" s="13" t="s">
        <v>18</v>
      </c>
      <c r="B20" s="14" t="s">
        <v>19</v>
      </c>
      <c r="C20" s="15">
        <v>235272012</v>
      </c>
      <c r="D20" s="16">
        <v>-161595366.87</v>
      </c>
      <c r="E20" s="16">
        <v>0</v>
      </c>
      <c r="F20" s="16">
        <v>7360474.1600000001</v>
      </c>
      <c r="G20" s="16">
        <v>5282053.34</v>
      </c>
      <c r="H20" s="16">
        <v>5121000</v>
      </c>
      <c r="I20" s="16">
        <v>5862100</v>
      </c>
      <c r="J20" s="16">
        <v>6159990.0300000003</v>
      </c>
      <c r="K20" s="16">
        <v>7269731.6299999999</v>
      </c>
      <c r="L20" s="16">
        <v>7566353.5</v>
      </c>
      <c r="M20" s="16">
        <v>7164691.5</v>
      </c>
      <c r="N20" s="16">
        <v>7201650</v>
      </c>
      <c r="O20" s="16">
        <v>7410950</v>
      </c>
      <c r="P20" s="16">
        <v>7277650</v>
      </c>
      <c r="Q20" s="16">
        <f>SUM(E20:P20)</f>
        <v>73676644.159999996</v>
      </c>
    </row>
    <row r="21" spans="1:17" ht="25.5" customHeight="1" x14ac:dyDescent="0.35">
      <c r="A21" s="13" t="s">
        <v>20</v>
      </c>
      <c r="B21" s="14" t="s">
        <v>21</v>
      </c>
      <c r="C21" s="15">
        <v>5106000</v>
      </c>
      <c r="D21" s="16">
        <v>117852566.7</v>
      </c>
      <c r="E21" s="16">
        <v>0</v>
      </c>
      <c r="F21" s="16">
        <v>12093200</v>
      </c>
      <c r="G21" s="16">
        <v>10332966.699999999</v>
      </c>
      <c r="H21" s="16">
        <v>9167700</v>
      </c>
      <c r="I21" s="16">
        <v>10623433.33</v>
      </c>
      <c r="J21" s="16">
        <v>10400599.380000001</v>
      </c>
      <c r="K21" s="16">
        <v>11507067.289999999</v>
      </c>
      <c r="L21" s="16">
        <v>11935600</v>
      </c>
      <c r="M21" s="16">
        <v>11661000</v>
      </c>
      <c r="N21" s="16">
        <v>11474000</v>
      </c>
      <c r="O21" s="16">
        <v>12029000</v>
      </c>
      <c r="P21" s="16">
        <v>11734000</v>
      </c>
      <c r="Q21" s="16">
        <f t="shared" ref="Q21:Q29" si="6">SUM(E21:P21)</f>
        <v>122958566.7</v>
      </c>
    </row>
    <row r="22" spans="1:17" ht="25.5" customHeight="1" x14ac:dyDescent="0.35">
      <c r="A22" s="13" t="s">
        <v>22</v>
      </c>
      <c r="B22" s="13" t="s">
        <v>23</v>
      </c>
      <c r="C22" s="15">
        <v>19588001</v>
      </c>
      <c r="D22" s="15">
        <v>-2688556.24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16899444.75</v>
      </c>
      <c r="P22" s="15">
        <v>0</v>
      </c>
      <c r="Q22" s="16">
        <f t="shared" si="6"/>
        <v>16899444.75</v>
      </c>
    </row>
    <row r="23" spans="1:17" ht="25.5" customHeight="1" x14ac:dyDescent="0.35">
      <c r="A23" s="13" t="s">
        <v>24</v>
      </c>
      <c r="B23" s="13" t="s">
        <v>25</v>
      </c>
      <c r="C23" s="15">
        <v>1900000</v>
      </c>
      <c r="D23" s="15">
        <v>43357.32</v>
      </c>
      <c r="E23" s="15">
        <v>0</v>
      </c>
      <c r="F23" s="15">
        <v>0</v>
      </c>
      <c r="G23" s="15">
        <v>83987.08</v>
      </c>
      <c r="H23" s="15">
        <v>580730.03</v>
      </c>
      <c r="I23" s="15">
        <v>260980.38</v>
      </c>
      <c r="J23" s="15">
        <v>116289.8</v>
      </c>
      <c r="K23" s="15">
        <v>395108.44</v>
      </c>
      <c r="L23" s="15">
        <v>279464.69</v>
      </c>
      <c r="M23" s="15"/>
      <c r="N23" s="15">
        <v>58144.9</v>
      </c>
      <c r="O23" s="15">
        <v>153049.4</v>
      </c>
      <c r="P23" s="15">
        <v>15602.22</v>
      </c>
      <c r="Q23" s="16">
        <f t="shared" si="6"/>
        <v>1943356.9399999997</v>
      </c>
    </row>
    <row r="24" spans="1:17" ht="25.5" customHeight="1" x14ac:dyDescent="0.35">
      <c r="A24" s="10" t="s">
        <v>26</v>
      </c>
      <c r="B24" s="11" t="s">
        <v>27</v>
      </c>
      <c r="C24" s="12">
        <f>SUM(C25)</f>
        <v>53038209</v>
      </c>
      <c r="D24" s="12">
        <f>SUM(D25)</f>
        <v>-5949344.7000000002</v>
      </c>
      <c r="E24" s="12">
        <f>SUM(E25)</f>
        <v>0</v>
      </c>
      <c r="F24" s="12">
        <f t="shared" ref="F24:J24" si="7">SUM(F25)</f>
        <v>778000</v>
      </c>
      <c r="G24" s="12">
        <f t="shared" si="7"/>
        <v>579000</v>
      </c>
      <c r="H24" s="12">
        <f t="shared" si="7"/>
        <v>4457345.28</v>
      </c>
      <c r="I24" s="12">
        <f t="shared" si="7"/>
        <v>838975</v>
      </c>
      <c r="J24" s="12">
        <f t="shared" si="7"/>
        <v>484000</v>
      </c>
      <c r="K24" s="12">
        <f t="shared" ref="K24:P24" si="8">SUM(K25)</f>
        <v>957699.93</v>
      </c>
      <c r="L24" s="12">
        <f t="shared" si="8"/>
        <v>668000</v>
      </c>
      <c r="M24" s="12">
        <f t="shared" si="8"/>
        <v>614000</v>
      </c>
      <c r="N24" s="12">
        <f t="shared" si="8"/>
        <v>614000</v>
      </c>
      <c r="O24" s="12">
        <f t="shared" si="8"/>
        <v>614000</v>
      </c>
      <c r="P24" s="12">
        <f t="shared" si="8"/>
        <v>35982882.590000004</v>
      </c>
      <c r="Q24" s="12">
        <f>SUM(Q25)</f>
        <v>46587902.800000004</v>
      </c>
    </row>
    <row r="25" spans="1:17" ht="25.5" customHeight="1" x14ac:dyDescent="0.35">
      <c r="A25" s="13" t="s">
        <v>28</v>
      </c>
      <c r="B25" s="13" t="s">
        <v>29</v>
      </c>
      <c r="C25" s="15">
        <v>53038209</v>
      </c>
      <c r="D25" s="15">
        <v>-5949344.7000000002</v>
      </c>
      <c r="E25" s="15">
        <v>0</v>
      </c>
      <c r="F25" s="15">
        <v>778000</v>
      </c>
      <c r="G25" s="15">
        <v>579000</v>
      </c>
      <c r="H25" s="15">
        <v>4457345.28</v>
      </c>
      <c r="I25" s="15">
        <v>838975</v>
      </c>
      <c r="J25" s="15">
        <v>484000</v>
      </c>
      <c r="K25" s="15">
        <v>957699.93</v>
      </c>
      <c r="L25" s="15">
        <v>668000</v>
      </c>
      <c r="M25" s="15">
        <v>614000</v>
      </c>
      <c r="N25" s="15">
        <v>614000</v>
      </c>
      <c r="O25" s="15">
        <v>614000</v>
      </c>
      <c r="P25" s="15">
        <v>35982882.590000004</v>
      </c>
      <c r="Q25" s="16">
        <f t="shared" si="6"/>
        <v>46587902.800000004</v>
      </c>
    </row>
    <row r="26" spans="1:17" ht="25.5" customHeight="1" x14ac:dyDescent="0.35">
      <c r="A26" s="10" t="s">
        <v>30</v>
      </c>
      <c r="B26" s="11" t="s">
        <v>31</v>
      </c>
      <c r="C26" s="12">
        <f>SUM(C27:C29)</f>
        <v>35043639</v>
      </c>
      <c r="D26" s="12">
        <v>-5481904</v>
      </c>
      <c r="E26" s="12">
        <f>SUM(E27:E29)</f>
        <v>0</v>
      </c>
      <c r="F26" s="12">
        <f t="shared" ref="F26:K26" si="9">SUM(F27:F29)</f>
        <v>2925371.2199999997</v>
      </c>
      <c r="G26" s="12">
        <f t="shared" si="9"/>
        <v>2327586.42</v>
      </c>
      <c r="H26" s="12">
        <f t="shared" si="9"/>
        <v>2132034.89</v>
      </c>
      <c r="I26" s="12">
        <f t="shared" si="9"/>
        <v>2476060.69</v>
      </c>
      <c r="J26" s="12">
        <f t="shared" si="9"/>
        <v>2480442.4500000002</v>
      </c>
      <c r="K26" s="12">
        <f t="shared" si="9"/>
        <v>2821197.92</v>
      </c>
      <c r="L26" s="12">
        <f t="shared" ref="L26:M26" si="10">SUM(L27:L29)</f>
        <v>2910165.2800000003</v>
      </c>
      <c r="M26" s="12">
        <f t="shared" si="10"/>
        <v>2833042.8</v>
      </c>
      <c r="N26" s="12">
        <f t="shared" ref="N26:O26" si="11">SUM(N27:N29)</f>
        <v>2801637.4099999997</v>
      </c>
      <c r="O26" s="12">
        <f t="shared" si="11"/>
        <v>2962155.96</v>
      </c>
      <c r="P26" s="12">
        <f t="shared" ref="P26" si="12">SUM(P27:P29)</f>
        <v>2892039.2600000002</v>
      </c>
      <c r="Q26" s="12">
        <f>SUM(Q27:Q29)</f>
        <v>29561734.300000004</v>
      </c>
    </row>
    <row r="27" spans="1:17" ht="25.5" customHeight="1" x14ac:dyDescent="0.35">
      <c r="A27" s="13" t="s">
        <v>32</v>
      </c>
      <c r="B27" s="13" t="s">
        <v>33</v>
      </c>
      <c r="C27" s="15">
        <v>16139825</v>
      </c>
      <c r="D27" s="15">
        <v>-2376860</v>
      </c>
      <c r="E27" s="15">
        <v>0</v>
      </c>
      <c r="F27" s="15">
        <v>1369375.01</v>
      </c>
      <c r="G27" s="15">
        <v>1082750.8400000001</v>
      </c>
      <c r="H27" s="15">
        <v>991887.49</v>
      </c>
      <c r="I27" s="15">
        <v>1154174.6499999999</v>
      </c>
      <c r="J27" s="15">
        <v>1157418.33</v>
      </c>
      <c r="K27" s="15">
        <v>1312322.19</v>
      </c>
      <c r="L27" s="15">
        <v>1350944.28</v>
      </c>
      <c r="M27" s="15">
        <v>1318043.5</v>
      </c>
      <c r="N27" s="15">
        <v>1303072.96</v>
      </c>
      <c r="O27" s="15">
        <v>1385342.97</v>
      </c>
      <c r="P27" s="15">
        <v>1337632.5</v>
      </c>
      <c r="Q27" s="16">
        <f t="shared" si="6"/>
        <v>13762964.720000001</v>
      </c>
    </row>
    <row r="28" spans="1:17" ht="25.5" customHeight="1" x14ac:dyDescent="0.35">
      <c r="A28" s="13" t="s">
        <v>34</v>
      </c>
      <c r="B28" s="13" t="s">
        <v>35</v>
      </c>
      <c r="C28" s="15">
        <v>17053644</v>
      </c>
      <c r="D28" s="15">
        <v>-3075720</v>
      </c>
      <c r="E28" s="15">
        <v>0</v>
      </c>
      <c r="F28" s="15">
        <v>1381210.88</v>
      </c>
      <c r="G28" s="15">
        <v>1108666.3899999999</v>
      </c>
      <c r="H28" s="15">
        <v>1014497.7</v>
      </c>
      <c r="I28" s="15">
        <v>1170472.8700000001</v>
      </c>
      <c r="J28" s="15">
        <v>1173721.1200000001</v>
      </c>
      <c r="K28" s="15">
        <v>1335233.49</v>
      </c>
      <c r="L28" s="15">
        <v>1380300</v>
      </c>
      <c r="M28" s="15">
        <v>1340962.8</v>
      </c>
      <c r="N28" s="15">
        <v>1325971.1499999999</v>
      </c>
      <c r="O28" s="15">
        <v>1389882.23</v>
      </c>
      <c r="P28" s="15">
        <v>1357005.24</v>
      </c>
      <c r="Q28" s="16">
        <f t="shared" si="6"/>
        <v>13977923.870000001</v>
      </c>
    </row>
    <row r="29" spans="1:17" ht="25.5" customHeight="1" x14ac:dyDescent="0.35">
      <c r="A29" s="13" t="s">
        <v>36</v>
      </c>
      <c r="B29" s="13" t="s">
        <v>37</v>
      </c>
      <c r="C29" s="15">
        <v>1850170</v>
      </c>
      <c r="D29" s="15">
        <v>-29324</v>
      </c>
      <c r="E29" s="15">
        <v>0</v>
      </c>
      <c r="F29" s="15">
        <v>174785.33</v>
      </c>
      <c r="G29" s="15">
        <v>136169.19</v>
      </c>
      <c r="H29" s="15">
        <v>125649.7</v>
      </c>
      <c r="I29" s="15">
        <v>151413.17000000001</v>
      </c>
      <c r="J29" s="15">
        <v>149303</v>
      </c>
      <c r="K29" s="15">
        <v>173642.23999999999</v>
      </c>
      <c r="L29" s="15">
        <v>178921</v>
      </c>
      <c r="M29" s="15">
        <v>174036.5</v>
      </c>
      <c r="N29" s="15">
        <v>172593.3</v>
      </c>
      <c r="O29" s="15">
        <v>186930.76</v>
      </c>
      <c r="P29" s="15">
        <v>197401.52</v>
      </c>
      <c r="Q29" s="16">
        <f t="shared" si="6"/>
        <v>1820845.71</v>
      </c>
    </row>
    <row r="30" spans="1:17" ht="25.5" customHeight="1" x14ac:dyDescent="0.35">
      <c r="A30" s="7">
        <v>2.2000000000000002</v>
      </c>
      <c r="B30" s="7" t="s">
        <v>38</v>
      </c>
      <c r="C30" s="8">
        <f>C31+C36+C39+C42+C45+C50+C53+C56+C62</f>
        <v>266889665</v>
      </c>
      <c r="D30" s="8">
        <f>D31+D36+D39+D42+D45+D50+D53+D56+D62</f>
        <v>-112969319.06</v>
      </c>
      <c r="E30" s="8">
        <f>E31+E36+E39+E42+E45+E50+E53+E56+E62</f>
        <v>0</v>
      </c>
      <c r="F30" s="8">
        <f t="shared" ref="F30:K30" si="13">F31+F36+F39+F42+F45+F50+F53+F56+F62</f>
        <v>0</v>
      </c>
      <c r="G30" s="8">
        <f t="shared" si="13"/>
        <v>883273.6</v>
      </c>
      <c r="H30" s="8">
        <f t="shared" si="13"/>
        <v>1042262.84</v>
      </c>
      <c r="I30" s="8">
        <f t="shared" si="13"/>
        <v>6122888.5099999998</v>
      </c>
      <c r="J30" s="8">
        <f t="shared" si="13"/>
        <v>9033772.1500000004</v>
      </c>
      <c r="K30" s="8">
        <f t="shared" si="13"/>
        <v>7954925.669999999</v>
      </c>
      <c r="L30" s="8">
        <f t="shared" ref="L30:M30" si="14">L31+L36+L39+L42+L45+L50+L53+L56+L62</f>
        <v>11118050.59</v>
      </c>
      <c r="M30" s="8">
        <f t="shared" si="14"/>
        <v>9469023.290000001</v>
      </c>
      <c r="N30" s="8">
        <f t="shared" ref="N30:O30" si="15">N31+N36+N39+N42+N45+N50+N53+N56+N62</f>
        <v>5895385.3100000005</v>
      </c>
      <c r="O30" s="8">
        <f t="shared" si="15"/>
        <v>28182244.109999996</v>
      </c>
      <c r="P30" s="8">
        <f t="shared" ref="P30" si="16">P31+P36+P39+P42+P45+P50+P53+P56+P62</f>
        <v>41704805.369999997</v>
      </c>
      <c r="Q30" s="8">
        <f>Q31+Q36+Q39+Q42+Q45+Q50+Q53+Q56+Q62</f>
        <v>121406631.44</v>
      </c>
    </row>
    <row r="31" spans="1:17" ht="25.5" customHeight="1" x14ac:dyDescent="0.35">
      <c r="A31" s="10" t="s">
        <v>39</v>
      </c>
      <c r="B31" s="11" t="s">
        <v>40</v>
      </c>
      <c r="C31" s="12">
        <f>SUM(C32:C35)</f>
        <v>15631659</v>
      </c>
      <c r="D31" s="12">
        <f>SUM(D32:D35)</f>
        <v>-8831898.6099999994</v>
      </c>
      <c r="E31" s="12">
        <f>SUM(E32:E35)</f>
        <v>0</v>
      </c>
      <c r="F31" s="12">
        <f t="shared" ref="F31:K31" si="17">SUM(F32:F35)</f>
        <v>0</v>
      </c>
      <c r="G31" s="12">
        <f t="shared" si="17"/>
        <v>0</v>
      </c>
      <c r="H31" s="12">
        <f t="shared" si="17"/>
        <v>0</v>
      </c>
      <c r="I31" s="12">
        <f t="shared" si="17"/>
        <v>387947.81</v>
      </c>
      <c r="J31" s="12">
        <f t="shared" si="17"/>
        <v>325687.89</v>
      </c>
      <c r="K31" s="12">
        <f t="shared" si="17"/>
        <v>167800</v>
      </c>
      <c r="L31" s="12">
        <f t="shared" ref="L31:M31" si="18">SUM(L32:L35)</f>
        <v>1492103.7999999998</v>
      </c>
      <c r="M31" s="12">
        <f t="shared" si="18"/>
        <v>669639.82999999996</v>
      </c>
      <c r="N31" s="12">
        <f t="shared" ref="N31:O31" si="19">SUM(N32:N35)</f>
        <v>504534.44999999995</v>
      </c>
      <c r="O31" s="12">
        <f t="shared" si="19"/>
        <v>275626.83999999997</v>
      </c>
      <c r="P31" s="12">
        <f t="shared" ref="P31" si="20">SUM(P32:P35)</f>
        <v>1403318.8900000001</v>
      </c>
      <c r="Q31" s="12">
        <f>SUM(Q32:Q35)</f>
        <v>5226659.51</v>
      </c>
    </row>
    <row r="32" spans="1:17" ht="25.5" customHeight="1" x14ac:dyDescent="0.35">
      <c r="A32" s="13" t="s">
        <v>41</v>
      </c>
      <c r="B32" s="13" t="s">
        <v>42</v>
      </c>
      <c r="C32" s="15">
        <v>3000000</v>
      </c>
      <c r="D32" s="16">
        <v>-3000000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f t="shared" ref="Q32:Q35" si="21">SUM(E32:P32)</f>
        <v>0</v>
      </c>
    </row>
    <row r="33" spans="1:17" ht="25.5" customHeight="1" x14ac:dyDescent="0.35">
      <c r="A33" s="13" t="s">
        <v>43</v>
      </c>
      <c r="B33" s="13" t="s">
        <v>44</v>
      </c>
      <c r="C33" s="15">
        <v>4000000</v>
      </c>
      <c r="D33" s="16">
        <v>-909598.98</v>
      </c>
      <c r="E33" s="16">
        <v>0</v>
      </c>
      <c r="F33" s="16">
        <v>0</v>
      </c>
      <c r="G33" s="16">
        <v>0</v>
      </c>
      <c r="H33" s="16">
        <v>0</v>
      </c>
      <c r="I33" s="16">
        <v>300447.81</v>
      </c>
      <c r="J33" s="16">
        <v>150187.89000000001</v>
      </c>
      <c r="K33" s="16">
        <v>63800</v>
      </c>
      <c r="L33" s="16">
        <v>1180001.67</v>
      </c>
      <c r="M33" s="16">
        <v>234652.33</v>
      </c>
      <c r="N33" s="16">
        <v>227482.86</v>
      </c>
      <c r="O33" s="16">
        <v>0</v>
      </c>
      <c r="P33" s="16">
        <f>236881.25+696947.02</f>
        <v>933828.27</v>
      </c>
      <c r="Q33" s="16">
        <f t="shared" si="21"/>
        <v>3090400.83</v>
      </c>
    </row>
    <row r="34" spans="1:17" ht="25.5" customHeight="1" x14ac:dyDescent="0.35">
      <c r="A34" s="13" t="s">
        <v>45</v>
      </c>
      <c r="B34" s="13" t="s">
        <v>46</v>
      </c>
      <c r="C34" s="15">
        <v>3631659</v>
      </c>
      <c r="D34" s="16">
        <v>-3032299.63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136602.13</v>
      </c>
      <c r="M34" s="16">
        <v>54587.5</v>
      </c>
      <c r="N34" s="16">
        <v>68051.59</v>
      </c>
      <c r="O34" s="16">
        <v>80626.84</v>
      </c>
      <c r="P34" s="16">
        <f>59581.25+199909.37</f>
        <v>259490.62</v>
      </c>
      <c r="Q34" s="16">
        <f t="shared" si="21"/>
        <v>599358.67999999993</v>
      </c>
    </row>
    <row r="35" spans="1:17" ht="25.5" customHeight="1" x14ac:dyDescent="0.35">
      <c r="A35" s="13" t="s">
        <v>47</v>
      </c>
      <c r="B35" s="13" t="s">
        <v>48</v>
      </c>
      <c r="C35" s="15">
        <v>5000000</v>
      </c>
      <c r="D35" s="16">
        <v>-1890000</v>
      </c>
      <c r="E35" s="16">
        <v>0</v>
      </c>
      <c r="F35" s="16">
        <v>0</v>
      </c>
      <c r="G35" s="16">
        <v>0</v>
      </c>
      <c r="H35" s="16">
        <v>0</v>
      </c>
      <c r="I35" s="16">
        <v>87500</v>
      </c>
      <c r="J35" s="16">
        <v>175500</v>
      </c>
      <c r="K35" s="16">
        <v>104000</v>
      </c>
      <c r="L35" s="16">
        <v>175500</v>
      </c>
      <c r="M35" s="16">
        <v>380400</v>
      </c>
      <c r="N35" s="16">
        <v>209000</v>
      </c>
      <c r="O35" s="16">
        <v>195000</v>
      </c>
      <c r="P35" s="16">
        <v>210000</v>
      </c>
      <c r="Q35" s="16">
        <f t="shared" si="21"/>
        <v>1536900</v>
      </c>
    </row>
    <row r="36" spans="1:17" ht="25.5" customHeight="1" x14ac:dyDescent="0.35">
      <c r="A36" s="10" t="s">
        <v>49</v>
      </c>
      <c r="B36" s="11" t="s">
        <v>50</v>
      </c>
      <c r="C36" s="12">
        <f>SUM(C37:C38)</f>
        <v>9218500</v>
      </c>
      <c r="D36" s="12">
        <f>SUM(D37:D38)</f>
        <v>-4312311.6400000006</v>
      </c>
      <c r="E36" s="12">
        <f>SUM(E37:E38)</f>
        <v>0</v>
      </c>
      <c r="F36" s="12">
        <f t="shared" ref="F36:K36" si="22">SUM(F37:F38)</f>
        <v>0</v>
      </c>
      <c r="G36" s="12">
        <f t="shared" si="22"/>
        <v>0</v>
      </c>
      <c r="H36" s="12">
        <f t="shared" si="22"/>
        <v>0</v>
      </c>
      <c r="I36" s="12">
        <f t="shared" si="22"/>
        <v>0</v>
      </c>
      <c r="J36" s="12">
        <f t="shared" si="22"/>
        <v>114808</v>
      </c>
      <c r="K36" s="12">
        <f t="shared" si="22"/>
        <v>16624.82</v>
      </c>
      <c r="L36" s="12">
        <f t="shared" ref="L36:M36" si="23">SUM(L37:L38)</f>
        <v>689192.87</v>
      </c>
      <c r="M36" s="12">
        <f t="shared" si="23"/>
        <v>69809.67</v>
      </c>
      <c r="N36" s="12">
        <f t="shared" ref="N36:O36" si="24">SUM(N37:N38)</f>
        <v>129262.76999999999</v>
      </c>
      <c r="O36" s="12">
        <f t="shared" si="24"/>
        <v>540228.1</v>
      </c>
      <c r="P36" s="12">
        <f t="shared" ref="P36" si="25">SUM(P37:P38)</f>
        <v>241450.91999999998</v>
      </c>
      <c r="Q36" s="12">
        <f>SUM(Q37:Q38)</f>
        <v>1801377.15</v>
      </c>
    </row>
    <row r="37" spans="1:17" ht="25.5" customHeight="1" x14ac:dyDescent="0.35">
      <c r="A37" s="13" t="s">
        <v>51</v>
      </c>
      <c r="B37" s="13" t="s">
        <v>52</v>
      </c>
      <c r="C37" s="15">
        <v>5000000</v>
      </c>
      <c r="D37" s="15">
        <v>-2018519.6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114808</v>
      </c>
      <c r="K37" s="15">
        <v>16624.82</v>
      </c>
      <c r="L37" s="15">
        <v>669190.59</v>
      </c>
      <c r="M37" s="15">
        <v>41666.67</v>
      </c>
      <c r="N37" s="15">
        <v>83295.87</v>
      </c>
      <c r="O37" s="15">
        <v>19323</v>
      </c>
      <c r="P37" s="15">
        <f>88684.74+103046.88</f>
        <v>191731.62</v>
      </c>
      <c r="Q37" s="16">
        <f t="shared" ref="Q37:Q38" si="26">SUM(E37:P37)</f>
        <v>1136640.5699999998</v>
      </c>
    </row>
    <row r="38" spans="1:17" ht="25.5" customHeight="1" x14ac:dyDescent="0.35">
      <c r="A38" s="13" t="s">
        <v>53</v>
      </c>
      <c r="B38" s="13" t="s">
        <v>54</v>
      </c>
      <c r="C38" s="15">
        <v>4218500</v>
      </c>
      <c r="D38" s="15">
        <v>-2293792.04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20002.28</v>
      </c>
      <c r="M38" s="15">
        <v>28143</v>
      </c>
      <c r="N38" s="15">
        <v>45966.9</v>
      </c>
      <c r="O38" s="15">
        <v>520905.1</v>
      </c>
      <c r="P38" s="15">
        <v>49719.3</v>
      </c>
      <c r="Q38" s="16">
        <f t="shared" si="26"/>
        <v>664736.58000000007</v>
      </c>
    </row>
    <row r="39" spans="1:17" ht="25.5" customHeight="1" x14ac:dyDescent="0.35">
      <c r="A39" s="10" t="s">
        <v>55</v>
      </c>
      <c r="B39" s="11" t="s">
        <v>56</v>
      </c>
      <c r="C39" s="12">
        <f>SUM(C40:C41)</f>
        <v>47000000</v>
      </c>
      <c r="D39" s="12">
        <f>SUM(D40:D41)</f>
        <v>-14355409.33</v>
      </c>
      <c r="E39" s="12">
        <f>SUM(E40:E41)</f>
        <v>0</v>
      </c>
      <c r="F39" s="12">
        <f t="shared" ref="F39:K39" si="27">SUM(F40:F41)</f>
        <v>0</v>
      </c>
      <c r="G39" s="12">
        <f t="shared" si="27"/>
        <v>0</v>
      </c>
      <c r="H39" s="12">
        <f t="shared" si="27"/>
        <v>0</v>
      </c>
      <c r="I39" s="12">
        <f t="shared" si="27"/>
        <v>4723050</v>
      </c>
      <c r="J39" s="12">
        <f t="shared" si="27"/>
        <v>3857800</v>
      </c>
      <c r="K39" s="12">
        <f t="shared" si="27"/>
        <v>3879550</v>
      </c>
      <c r="L39" s="12">
        <f t="shared" ref="L39:M39" si="28">SUM(L40:L41)</f>
        <v>3181090</v>
      </c>
      <c r="M39" s="12">
        <f t="shared" si="28"/>
        <v>3644900</v>
      </c>
      <c r="N39" s="12">
        <f t="shared" ref="N39:O39" si="29">SUM(N40:N41)</f>
        <v>3158800</v>
      </c>
      <c r="O39" s="12">
        <f t="shared" si="29"/>
        <v>3664600</v>
      </c>
      <c r="P39" s="12">
        <f t="shared" ref="P39" si="30">SUM(P40:P41)</f>
        <v>6534800</v>
      </c>
      <c r="Q39" s="12">
        <f>SUM(Q40:Q41)</f>
        <v>32644590</v>
      </c>
    </row>
    <row r="40" spans="1:17" ht="25.5" customHeight="1" x14ac:dyDescent="0.35">
      <c r="A40" s="13" t="s">
        <v>57</v>
      </c>
      <c r="B40" s="13" t="s">
        <v>58</v>
      </c>
      <c r="C40" s="15">
        <v>46900000</v>
      </c>
      <c r="D40" s="15">
        <v>-14255409.33</v>
      </c>
      <c r="E40" s="15">
        <v>0</v>
      </c>
      <c r="F40" s="15">
        <v>0</v>
      </c>
      <c r="G40" s="15">
        <v>0</v>
      </c>
      <c r="H40" s="15">
        <v>0</v>
      </c>
      <c r="I40" s="15">
        <v>4723050</v>
      </c>
      <c r="J40" s="15">
        <v>3857800</v>
      </c>
      <c r="K40" s="15">
        <v>3879550</v>
      </c>
      <c r="L40" s="15">
        <v>3181090</v>
      </c>
      <c r="M40" s="15">
        <v>3644900</v>
      </c>
      <c r="N40" s="15">
        <v>3158800</v>
      </c>
      <c r="O40" s="15">
        <v>3664600</v>
      </c>
      <c r="P40" s="15">
        <f>4193650+2341150</f>
        <v>6534800</v>
      </c>
      <c r="Q40" s="16">
        <f t="shared" ref="Q40:Q41" si="31">SUM(E40:P40)</f>
        <v>32644590</v>
      </c>
    </row>
    <row r="41" spans="1:17" ht="25.5" customHeight="1" x14ac:dyDescent="0.35">
      <c r="A41" s="13" t="s">
        <v>59</v>
      </c>
      <c r="B41" s="13" t="s">
        <v>60</v>
      </c>
      <c r="C41" s="15">
        <v>100000</v>
      </c>
      <c r="D41" s="16">
        <v>-100000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f t="shared" si="31"/>
        <v>0</v>
      </c>
    </row>
    <row r="42" spans="1:17" ht="25.5" customHeight="1" x14ac:dyDescent="0.35">
      <c r="A42" s="10" t="s">
        <v>61</v>
      </c>
      <c r="B42" s="11" t="s">
        <v>62</v>
      </c>
      <c r="C42" s="12">
        <f>SUM(C43:C44)</f>
        <v>400000</v>
      </c>
      <c r="D42" s="12">
        <f>SUM(D43:D44)</f>
        <v>-323299.33</v>
      </c>
      <c r="E42" s="12">
        <f>SUM(E43:E44)</f>
        <v>0</v>
      </c>
      <c r="F42" s="12">
        <f t="shared" ref="F42:K42" si="32">SUM(F43:F44)</f>
        <v>0</v>
      </c>
      <c r="G42" s="12">
        <f t="shared" si="32"/>
        <v>0</v>
      </c>
      <c r="H42" s="12">
        <f t="shared" si="32"/>
        <v>0</v>
      </c>
      <c r="I42" s="12">
        <f t="shared" si="32"/>
        <v>0</v>
      </c>
      <c r="J42" s="12">
        <f t="shared" si="32"/>
        <v>0</v>
      </c>
      <c r="K42" s="12">
        <f t="shared" si="32"/>
        <v>15700</v>
      </c>
      <c r="L42" s="12">
        <f t="shared" ref="L42:M42" si="33">SUM(L43:L44)</f>
        <v>13300</v>
      </c>
      <c r="M42" s="12">
        <f t="shared" si="33"/>
        <v>29280</v>
      </c>
      <c r="N42" s="12">
        <f t="shared" ref="N42:O42" si="34">SUM(N43:N44)</f>
        <v>1260</v>
      </c>
      <c r="O42" s="12">
        <f t="shared" si="34"/>
        <v>7780</v>
      </c>
      <c r="P42" s="12">
        <f t="shared" ref="P42" si="35">SUM(P43:P44)</f>
        <v>9380</v>
      </c>
      <c r="Q42" s="12">
        <f>SUM(Q43:Q44)</f>
        <v>76700</v>
      </c>
    </row>
    <row r="43" spans="1:17" ht="25.5" customHeight="1" x14ac:dyDescent="0.35">
      <c r="A43" s="14" t="s">
        <v>63</v>
      </c>
      <c r="B43" s="3" t="s">
        <v>64</v>
      </c>
      <c r="C43" s="17">
        <v>100000</v>
      </c>
      <c r="D43" s="17">
        <v>-96899.33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3100</v>
      </c>
      <c r="L43" s="17"/>
      <c r="M43" s="17">
        <v>0</v>
      </c>
      <c r="N43" s="17">
        <v>0</v>
      </c>
      <c r="O43" s="17">
        <v>0</v>
      </c>
      <c r="P43" s="17">
        <v>0</v>
      </c>
      <c r="Q43" s="16">
        <f t="shared" ref="Q43:Q44" si="36">SUM(E43:P43)</f>
        <v>3100</v>
      </c>
    </row>
    <row r="44" spans="1:17" ht="25.5" customHeight="1" x14ac:dyDescent="0.35">
      <c r="A44" s="14" t="s">
        <v>65</v>
      </c>
      <c r="B44" s="3" t="s">
        <v>66</v>
      </c>
      <c r="C44" s="17">
        <v>300000</v>
      </c>
      <c r="D44" s="17">
        <v>-226400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12600</v>
      </c>
      <c r="L44" s="17">
        <v>13300</v>
      </c>
      <c r="M44" s="17">
        <v>29280</v>
      </c>
      <c r="N44" s="17">
        <v>1260</v>
      </c>
      <c r="O44" s="17">
        <v>7780</v>
      </c>
      <c r="P44" s="17">
        <f>3760+5620</f>
        <v>9380</v>
      </c>
      <c r="Q44" s="16">
        <f t="shared" si="36"/>
        <v>73600</v>
      </c>
    </row>
    <row r="45" spans="1:17" ht="25.5" customHeight="1" x14ac:dyDescent="0.35">
      <c r="A45" s="10" t="s">
        <v>67</v>
      </c>
      <c r="B45" s="11" t="s">
        <v>68</v>
      </c>
      <c r="C45" s="12">
        <f>SUM(C46:C49)</f>
        <v>12648897</v>
      </c>
      <c r="D45" s="12">
        <f>SUM(D46:D49)</f>
        <v>12613900.85</v>
      </c>
      <c r="E45" s="12">
        <f>SUM(E46:E49)</f>
        <v>0</v>
      </c>
      <c r="F45" s="12">
        <f t="shared" ref="F45:K45" si="37">SUM(F46:F49)</f>
        <v>0</v>
      </c>
      <c r="G45" s="12">
        <f t="shared" si="37"/>
        <v>883273.6</v>
      </c>
      <c r="H45" s="12">
        <f t="shared" si="37"/>
        <v>1042262.84</v>
      </c>
      <c r="I45" s="12">
        <f t="shared" si="37"/>
        <v>520548.5</v>
      </c>
      <c r="J45" s="12">
        <f t="shared" si="37"/>
        <v>3080484.26</v>
      </c>
      <c r="K45" s="12">
        <f t="shared" si="37"/>
        <v>1188214.8699999999</v>
      </c>
      <c r="L45" s="12">
        <f t="shared" ref="L45:M45" si="38">SUM(L46:L49)</f>
        <v>1471157.92</v>
      </c>
      <c r="M45" s="12">
        <f t="shared" si="38"/>
        <v>1097355.98</v>
      </c>
      <c r="N45" s="12">
        <f t="shared" ref="N45:O45" si="39">SUM(N46:N49)</f>
        <v>1107885.4099999999</v>
      </c>
      <c r="O45" s="12">
        <f t="shared" si="39"/>
        <v>1285329.27</v>
      </c>
      <c r="P45" s="12">
        <f t="shared" ref="P45" si="40">SUM(P46:P49)</f>
        <v>6232370.1799999997</v>
      </c>
      <c r="Q45" s="12">
        <f>SUM(Q46:Q49)</f>
        <v>17908882.829999998</v>
      </c>
    </row>
    <row r="46" spans="1:17" ht="25.5" customHeight="1" x14ac:dyDescent="0.35">
      <c r="A46" s="13" t="s">
        <v>69</v>
      </c>
      <c r="B46" s="13" t="s">
        <v>70</v>
      </c>
      <c r="C46" s="16">
        <v>4379457</v>
      </c>
      <c r="D46" s="16">
        <v>9346556.1999999993</v>
      </c>
      <c r="E46" s="16">
        <v>0</v>
      </c>
      <c r="F46" s="16">
        <v>0</v>
      </c>
      <c r="G46" s="16">
        <v>883273.6</v>
      </c>
      <c r="H46" s="16">
        <v>1042262.84</v>
      </c>
      <c r="I46" s="16">
        <v>520548.5</v>
      </c>
      <c r="J46" s="16">
        <v>3080484.26</v>
      </c>
      <c r="K46" s="16">
        <v>822413.69</v>
      </c>
      <c r="L46" s="16">
        <v>1105356.74</v>
      </c>
      <c r="M46" s="16">
        <v>1097355.98</v>
      </c>
      <c r="N46" s="16">
        <v>1107885.4099999999</v>
      </c>
      <c r="O46" s="16">
        <v>1121329.28</v>
      </c>
      <c r="P46" s="16">
        <v>1491188.14</v>
      </c>
      <c r="Q46" s="16">
        <f t="shared" ref="Q46:Q49" si="41">SUM(E46:P46)</f>
        <v>12272098.439999999</v>
      </c>
    </row>
    <row r="47" spans="1:17" ht="25.5" customHeight="1" x14ac:dyDescent="0.35">
      <c r="A47" s="13" t="s">
        <v>71</v>
      </c>
      <c r="B47" s="13" t="s">
        <v>72</v>
      </c>
      <c r="C47" s="16">
        <v>0</v>
      </c>
      <c r="D47" s="16">
        <v>1261400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365801.18</v>
      </c>
      <c r="L47" s="16">
        <v>365801.18</v>
      </c>
      <c r="M47" s="16">
        <v>0</v>
      </c>
      <c r="N47" s="16">
        <v>0</v>
      </c>
      <c r="O47" s="16">
        <v>163999.99</v>
      </c>
      <c r="P47" s="16">
        <v>365797.64</v>
      </c>
      <c r="Q47" s="16">
        <f t="shared" si="41"/>
        <v>1261399.99</v>
      </c>
    </row>
    <row r="48" spans="1:17" ht="25.5" customHeight="1" x14ac:dyDescent="0.35">
      <c r="A48" s="13" t="s">
        <v>258</v>
      </c>
      <c r="B48" s="13" t="s">
        <v>259</v>
      </c>
      <c r="C48" s="16">
        <v>0</v>
      </c>
      <c r="D48" s="16">
        <v>4722210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f>18000+54210</f>
        <v>72210</v>
      </c>
      <c r="Q48" s="16">
        <f t="shared" si="41"/>
        <v>72210</v>
      </c>
    </row>
    <row r="49" spans="1:17" ht="25.5" customHeight="1" x14ac:dyDescent="0.35">
      <c r="A49" s="13" t="s">
        <v>73</v>
      </c>
      <c r="B49" s="13" t="s">
        <v>74</v>
      </c>
      <c r="C49" s="16">
        <v>8269440</v>
      </c>
      <c r="D49" s="16">
        <v>-2716265.35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4303174.4000000004</v>
      </c>
      <c r="Q49" s="16">
        <f t="shared" si="41"/>
        <v>4303174.4000000004</v>
      </c>
    </row>
    <row r="50" spans="1:17" ht="25.5" customHeight="1" x14ac:dyDescent="0.35">
      <c r="A50" s="10" t="s">
        <v>75</v>
      </c>
      <c r="B50" s="11" t="s">
        <v>76</v>
      </c>
      <c r="C50" s="12">
        <f>SUM(C51:C52)</f>
        <v>3665067</v>
      </c>
      <c r="D50" s="12">
        <f>SUM(D51:D52)</f>
        <v>-858395</v>
      </c>
      <c r="E50" s="12">
        <f>SUM(E51:E52)</f>
        <v>0</v>
      </c>
      <c r="F50" s="12">
        <f t="shared" ref="F50:K50" si="42">SUM(F51:F52)</f>
        <v>0</v>
      </c>
      <c r="G50" s="12">
        <f t="shared" si="42"/>
        <v>0</v>
      </c>
      <c r="H50" s="12">
        <f t="shared" si="42"/>
        <v>0</v>
      </c>
      <c r="I50" s="12">
        <f t="shared" si="42"/>
        <v>0</v>
      </c>
      <c r="J50" s="12">
        <f t="shared" si="42"/>
        <v>0</v>
      </c>
      <c r="K50" s="12">
        <f t="shared" si="42"/>
        <v>0</v>
      </c>
      <c r="L50" s="12">
        <f t="shared" ref="L50:M50" si="43">SUM(L51:L52)</f>
        <v>0</v>
      </c>
      <c r="M50" s="12">
        <f t="shared" si="43"/>
        <v>197030.46</v>
      </c>
      <c r="N50" s="12">
        <f t="shared" ref="N50:O50" si="44">SUM(N51:N52)</f>
        <v>153723.84</v>
      </c>
      <c r="O50" s="12">
        <f t="shared" si="44"/>
        <v>153752.41</v>
      </c>
      <c r="P50" s="12">
        <f t="shared" ref="P50" si="45">SUM(P51:P52)</f>
        <v>2302012.5299999998</v>
      </c>
      <c r="Q50" s="12">
        <f>SUM(Q51:Q52)</f>
        <v>2806519.2399999998</v>
      </c>
    </row>
    <row r="51" spans="1:17" ht="25.5" customHeight="1" x14ac:dyDescent="0.35">
      <c r="A51" s="13" t="s">
        <v>77</v>
      </c>
      <c r="B51" s="13" t="s">
        <v>78</v>
      </c>
      <c r="C51" s="16">
        <v>2500000</v>
      </c>
      <c r="D51" s="16">
        <v>-373000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2126848.0499999998</v>
      </c>
      <c r="Q51" s="16">
        <f t="shared" ref="Q51:Q52" si="46">SUM(E51:P51)</f>
        <v>2126848.0499999998</v>
      </c>
    </row>
    <row r="52" spans="1:17" ht="25.5" customHeight="1" x14ac:dyDescent="0.35">
      <c r="A52" s="13" t="s">
        <v>79</v>
      </c>
      <c r="B52" s="13" t="s">
        <v>80</v>
      </c>
      <c r="C52" s="16">
        <v>1165067</v>
      </c>
      <c r="D52" s="16">
        <v>-485395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197030.46</v>
      </c>
      <c r="N52" s="16">
        <v>153723.84</v>
      </c>
      <c r="O52" s="16">
        <v>153752.41</v>
      </c>
      <c r="P52" s="16">
        <v>175164.48</v>
      </c>
      <c r="Q52" s="16">
        <f t="shared" si="46"/>
        <v>679671.19</v>
      </c>
    </row>
    <row r="53" spans="1:17" ht="34.5" x14ac:dyDescent="0.35">
      <c r="A53" s="10" t="s">
        <v>81</v>
      </c>
      <c r="B53" s="11" t="s">
        <v>82</v>
      </c>
      <c r="C53" s="12">
        <f>SUM(C54:C55)</f>
        <v>4263530</v>
      </c>
      <c r="D53" s="12">
        <f>SUM(D54:D55)</f>
        <v>1227674.7</v>
      </c>
      <c r="E53" s="12">
        <f>SUM(E54:E55)</f>
        <v>0</v>
      </c>
      <c r="F53" s="12">
        <f t="shared" ref="F53:K53" si="47">SUM(F54:F55)</f>
        <v>0</v>
      </c>
      <c r="G53" s="12">
        <f t="shared" si="47"/>
        <v>0</v>
      </c>
      <c r="H53" s="12">
        <f t="shared" si="47"/>
        <v>0</v>
      </c>
      <c r="I53" s="12">
        <f t="shared" si="47"/>
        <v>157189.96</v>
      </c>
      <c r="J53" s="12">
        <f t="shared" si="47"/>
        <v>149384.65</v>
      </c>
      <c r="K53" s="12">
        <f t="shared" si="47"/>
        <v>793713.23</v>
      </c>
      <c r="L53" s="12">
        <f t="shared" ref="L53:M53" si="48">SUM(L54:L55)</f>
        <v>709765.47000000009</v>
      </c>
      <c r="M53" s="12">
        <f t="shared" si="48"/>
        <v>272304.12</v>
      </c>
      <c r="N53" s="12">
        <f t="shared" ref="N53:O53" si="49">SUM(N54:N55)</f>
        <v>98278.15</v>
      </c>
      <c r="O53" s="12">
        <f t="shared" si="49"/>
        <v>91435.15</v>
      </c>
      <c r="P53" s="12">
        <f t="shared" ref="P53" si="50">SUM(P54:P55)</f>
        <v>548223.01</v>
      </c>
      <c r="Q53" s="12">
        <f>SUM(Q54:Q55)</f>
        <v>2820293.74</v>
      </c>
    </row>
    <row r="54" spans="1:17" ht="25.5" customHeight="1" x14ac:dyDescent="0.35">
      <c r="A54" s="13" t="s">
        <v>83</v>
      </c>
      <c r="B54" s="13" t="s">
        <v>84</v>
      </c>
      <c r="C54" s="16">
        <v>200000</v>
      </c>
      <c r="D54" s="16">
        <v>199624.55</v>
      </c>
      <c r="E54" s="16">
        <v>0</v>
      </c>
      <c r="F54" s="16">
        <v>0</v>
      </c>
      <c r="G54" s="16">
        <v>0</v>
      </c>
      <c r="H54" s="16">
        <v>0</v>
      </c>
      <c r="I54" s="16">
        <v>79260.399999999994</v>
      </c>
      <c r="J54" s="16">
        <v>149384.65</v>
      </c>
      <c r="K54" s="16">
        <v>85003.15</v>
      </c>
      <c r="L54" s="16">
        <v>84995.55</v>
      </c>
      <c r="M54" s="16">
        <v>0</v>
      </c>
      <c r="N54" s="16">
        <v>0</v>
      </c>
      <c r="O54" s="16">
        <v>0</v>
      </c>
      <c r="P54" s="16">
        <v>0</v>
      </c>
      <c r="Q54" s="16">
        <f t="shared" ref="Q54:Q55" si="51">SUM(E54:P54)</f>
        <v>398643.74999999994</v>
      </c>
    </row>
    <row r="55" spans="1:17" ht="25.5" customHeight="1" x14ac:dyDescent="0.35">
      <c r="A55" s="13" t="s">
        <v>85</v>
      </c>
      <c r="B55" s="13" t="s">
        <v>86</v>
      </c>
      <c r="C55" s="16">
        <v>4063530</v>
      </c>
      <c r="D55" s="16">
        <v>1028050.15</v>
      </c>
      <c r="E55" s="16">
        <v>0</v>
      </c>
      <c r="F55" s="16">
        <v>0</v>
      </c>
      <c r="G55" s="16">
        <v>0</v>
      </c>
      <c r="H55" s="16">
        <v>0</v>
      </c>
      <c r="I55" s="16">
        <v>77929.56</v>
      </c>
      <c r="J55" s="16">
        <v>0</v>
      </c>
      <c r="K55" s="16">
        <v>708710.08</v>
      </c>
      <c r="L55" s="16">
        <v>624769.92000000004</v>
      </c>
      <c r="M55" s="16">
        <v>272304.12</v>
      </c>
      <c r="N55" s="16">
        <v>98278.15</v>
      </c>
      <c r="O55" s="16">
        <v>91435.15</v>
      </c>
      <c r="P55" s="16">
        <f>460369.86+87853.15</f>
        <v>548223.01</v>
      </c>
      <c r="Q55" s="16">
        <f t="shared" si="51"/>
        <v>2421649.9900000002</v>
      </c>
    </row>
    <row r="56" spans="1:17" ht="25.5" customHeight="1" x14ac:dyDescent="0.35">
      <c r="A56" s="10" t="s">
        <v>87</v>
      </c>
      <c r="B56" s="11" t="s">
        <v>88</v>
      </c>
      <c r="C56" s="12">
        <f>SUM(C57:C61)</f>
        <v>156680933</v>
      </c>
      <c r="D56" s="12">
        <f>SUM(D57:D61)</f>
        <v>-84176308.579999998</v>
      </c>
      <c r="E56" s="12">
        <f>SUM(E57:E61)</f>
        <v>0</v>
      </c>
      <c r="F56" s="12">
        <f t="shared" ref="F56:K56" si="52">SUM(F57:F61)</f>
        <v>0</v>
      </c>
      <c r="G56" s="12">
        <f t="shared" si="52"/>
        <v>0</v>
      </c>
      <c r="H56" s="12">
        <f t="shared" si="52"/>
        <v>0</v>
      </c>
      <c r="I56" s="12">
        <f t="shared" si="52"/>
        <v>334152.24</v>
      </c>
      <c r="J56" s="12">
        <f t="shared" si="52"/>
        <v>1505607.35</v>
      </c>
      <c r="K56" s="12">
        <f t="shared" si="52"/>
        <v>1785398.8599999999</v>
      </c>
      <c r="L56" s="12">
        <f t="shared" ref="L56:M56" si="53">SUM(L57:L61)</f>
        <v>2868203.62</v>
      </c>
      <c r="M56" s="12">
        <f t="shared" si="53"/>
        <v>2340146.16</v>
      </c>
      <c r="N56" s="12">
        <f t="shared" ref="N56:O56" si="54">SUM(N57:N61)</f>
        <v>581515.62</v>
      </c>
      <c r="O56" s="12">
        <f t="shared" si="54"/>
        <v>22099022.259999998</v>
      </c>
      <c r="P56" s="12">
        <f t="shared" ref="P56" si="55">SUM(P57:P61)</f>
        <v>23648661.579999998</v>
      </c>
      <c r="Q56" s="12">
        <f>SUM(Q57:Q61)</f>
        <v>55162707.689999998</v>
      </c>
    </row>
    <row r="57" spans="1:17" ht="25.5" customHeight="1" x14ac:dyDescent="0.35">
      <c r="A57" s="13" t="s">
        <v>89</v>
      </c>
      <c r="B57" s="13" t="s">
        <v>90</v>
      </c>
      <c r="C57" s="16">
        <v>29430933</v>
      </c>
      <c r="D57" s="16">
        <v>89746.16</v>
      </c>
      <c r="E57" s="16">
        <v>0</v>
      </c>
      <c r="F57" s="16">
        <v>0</v>
      </c>
      <c r="G57" s="16">
        <v>0</v>
      </c>
      <c r="H57" s="16">
        <v>0</v>
      </c>
      <c r="I57" s="16">
        <v>16182.24</v>
      </c>
      <c r="J57" s="16">
        <v>300</v>
      </c>
      <c r="K57" s="16">
        <v>0</v>
      </c>
      <c r="L57" s="16">
        <v>10603.41</v>
      </c>
      <c r="M57" s="16">
        <v>16148.44</v>
      </c>
      <c r="N57" s="16">
        <v>6410.62</v>
      </c>
      <c r="O57" s="16">
        <v>10002.5</v>
      </c>
      <c r="P57" s="16">
        <f>16908.25+13190.16</f>
        <v>30098.41</v>
      </c>
      <c r="Q57" s="16">
        <f t="shared" ref="Q57:Q61" si="56">SUM(E57:P57)</f>
        <v>89745.62</v>
      </c>
    </row>
    <row r="58" spans="1:17" ht="25.5" customHeight="1" x14ac:dyDescent="0.35">
      <c r="A58" s="13" t="s">
        <v>91</v>
      </c>
      <c r="B58" s="13" t="s">
        <v>92</v>
      </c>
      <c r="C58" s="16">
        <v>0</v>
      </c>
      <c r="D58" s="16">
        <v>162531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3000</v>
      </c>
      <c r="L58" s="16">
        <v>531</v>
      </c>
      <c r="M58" s="16">
        <v>12791.2</v>
      </c>
      <c r="N58" s="16">
        <v>0</v>
      </c>
      <c r="O58" s="16">
        <v>27482.52</v>
      </c>
      <c r="P58" s="16">
        <f>48136.87+5900</f>
        <v>54036.87</v>
      </c>
      <c r="Q58" s="16">
        <f t="shared" si="56"/>
        <v>97841.59</v>
      </c>
    </row>
    <row r="59" spans="1:17" ht="25.5" customHeight="1" x14ac:dyDescent="0.35">
      <c r="A59" s="13" t="s">
        <v>93</v>
      </c>
      <c r="B59" s="13" t="s">
        <v>94</v>
      </c>
      <c r="C59" s="16">
        <v>0</v>
      </c>
      <c r="D59" s="16">
        <v>14000000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500000</v>
      </c>
      <c r="L59" s="16">
        <v>0</v>
      </c>
      <c r="M59" s="16">
        <v>0</v>
      </c>
      <c r="N59" s="16">
        <v>0</v>
      </c>
      <c r="O59" s="16">
        <v>16920226.5</v>
      </c>
      <c r="P59" s="16">
        <v>10463414</v>
      </c>
      <c r="Q59" s="16">
        <f t="shared" si="56"/>
        <v>27883640.5</v>
      </c>
    </row>
    <row r="60" spans="1:17" ht="25.5" customHeight="1" x14ac:dyDescent="0.35">
      <c r="A60" s="13" t="s">
        <v>95</v>
      </c>
      <c r="B60" s="13" t="s">
        <v>96</v>
      </c>
      <c r="C60" s="16">
        <v>127250000</v>
      </c>
      <c r="D60" s="16">
        <v>-102952220.48999999</v>
      </c>
      <c r="E60" s="16">
        <v>0</v>
      </c>
      <c r="F60" s="16">
        <v>0</v>
      </c>
      <c r="G60" s="16">
        <v>0</v>
      </c>
      <c r="H60" s="16">
        <v>0</v>
      </c>
      <c r="I60" s="16">
        <v>317970</v>
      </c>
      <c r="J60" s="16">
        <v>1076200</v>
      </c>
      <c r="K60" s="16">
        <v>1042860</v>
      </c>
      <c r="L60" s="16">
        <v>2320160</v>
      </c>
      <c r="M60" s="16">
        <v>1357830</v>
      </c>
      <c r="N60" s="16">
        <v>174600</v>
      </c>
      <c r="O60" s="16">
        <v>4749861.5999999996</v>
      </c>
      <c r="P60" s="16">
        <f>7092491.23+4050646.28</f>
        <v>11143137.51</v>
      </c>
      <c r="Q60" s="16">
        <f t="shared" si="56"/>
        <v>22182619.109999999</v>
      </c>
    </row>
    <row r="61" spans="1:17" ht="25.5" customHeight="1" x14ac:dyDescent="0.35">
      <c r="A61" s="13" t="s">
        <v>97</v>
      </c>
      <c r="B61" s="13" t="s">
        <v>98</v>
      </c>
      <c r="C61" s="16">
        <v>0</v>
      </c>
      <c r="D61" s="16">
        <v>4523634.75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429107.35</v>
      </c>
      <c r="K61" s="16">
        <v>239538.86</v>
      </c>
      <c r="L61" s="16">
        <v>536909.21</v>
      </c>
      <c r="M61" s="16">
        <v>953376.52</v>
      </c>
      <c r="N61" s="16">
        <v>400505</v>
      </c>
      <c r="O61" s="16">
        <v>391449.14</v>
      </c>
      <c r="P61" s="16">
        <f>693776.98+1264197.81</f>
        <v>1957974.79</v>
      </c>
      <c r="Q61" s="16">
        <f t="shared" si="56"/>
        <v>4908860.87</v>
      </c>
    </row>
    <row r="62" spans="1:17" ht="25.5" customHeight="1" x14ac:dyDescent="0.35">
      <c r="A62" s="10" t="s">
        <v>99</v>
      </c>
      <c r="B62" s="11" t="s">
        <v>100</v>
      </c>
      <c r="C62" s="12">
        <f>SUM(C64)</f>
        <v>17381079</v>
      </c>
      <c r="D62" s="12">
        <f>SUM(D63:D64)</f>
        <v>-13953272.119999999</v>
      </c>
      <c r="E62" s="12">
        <f t="shared" ref="E62:Q62" si="57">SUM(E63:E64)</f>
        <v>0</v>
      </c>
      <c r="F62" s="12">
        <f t="shared" si="57"/>
        <v>0</v>
      </c>
      <c r="G62" s="12">
        <f t="shared" si="57"/>
        <v>0</v>
      </c>
      <c r="H62" s="12">
        <f t="shared" si="57"/>
        <v>0</v>
      </c>
      <c r="I62" s="12">
        <f t="shared" si="57"/>
        <v>0</v>
      </c>
      <c r="J62" s="12">
        <f t="shared" si="57"/>
        <v>0</v>
      </c>
      <c r="K62" s="12">
        <f t="shared" si="57"/>
        <v>107923.89</v>
      </c>
      <c r="L62" s="12">
        <f t="shared" si="57"/>
        <v>693236.91</v>
      </c>
      <c r="M62" s="12">
        <f t="shared" si="57"/>
        <v>1148557.0699999998</v>
      </c>
      <c r="N62" s="12">
        <f t="shared" ref="N62:O62" si="58">SUM(N63:N64)</f>
        <v>160125.07</v>
      </c>
      <c r="O62" s="12">
        <f t="shared" si="58"/>
        <v>64470.080000000002</v>
      </c>
      <c r="P62" s="12">
        <f t="shared" ref="P62" si="59">SUM(P63:P64)</f>
        <v>784588.25999999989</v>
      </c>
      <c r="Q62" s="12">
        <f t="shared" si="57"/>
        <v>2958901.2800000003</v>
      </c>
    </row>
    <row r="63" spans="1:17" ht="25.5" customHeight="1" x14ac:dyDescent="0.35">
      <c r="A63" s="13" t="s">
        <v>245</v>
      </c>
      <c r="B63" s="13" t="s">
        <v>246</v>
      </c>
      <c r="C63" s="16"/>
      <c r="D63" s="16">
        <v>149564</v>
      </c>
      <c r="E63" s="16"/>
      <c r="F63" s="16"/>
      <c r="G63" s="16"/>
      <c r="H63" s="16"/>
      <c r="I63" s="16"/>
      <c r="J63" s="16"/>
      <c r="K63" s="16"/>
      <c r="L63" s="16"/>
      <c r="M63" s="16">
        <v>149564</v>
      </c>
      <c r="N63" s="16">
        <v>0</v>
      </c>
      <c r="O63" s="16">
        <v>0</v>
      </c>
      <c r="P63" s="16">
        <v>0</v>
      </c>
      <c r="Q63" s="16">
        <f t="shared" ref="Q63:Q64" si="60">SUM(E63:P63)</f>
        <v>149564</v>
      </c>
    </row>
    <row r="64" spans="1:17" ht="25.5" customHeight="1" x14ac:dyDescent="0.35">
      <c r="A64" s="13" t="s">
        <v>101</v>
      </c>
      <c r="B64" s="13" t="s">
        <v>102</v>
      </c>
      <c r="C64" s="16">
        <v>17381079</v>
      </c>
      <c r="D64" s="16">
        <v>-14102836.119999999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107923.89</v>
      </c>
      <c r="L64" s="16">
        <v>693236.91</v>
      </c>
      <c r="M64" s="16">
        <v>998993.07</v>
      </c>
      <c r="N64" s="16">
        <v>160125.07</v>
      </c>
      <c r="O64" s="16">
        <v>64470.080000000002</v>
      </c>
      <c r="P64" s="16">
        <f>774174.44+10413.82</f>
        <v>784588.25999999989</v>
      </c>
      <c r="Q64" s="16">
        <f t="shared" si="60"/>
        <v>2809337.2800000003</v>
      </c>
    </row>
    <row r="65" spans="1:17" ht="25.5" customHeight="1" x14ac:dyDescent="0.35">
      <c r="A65" s="7">
        <v>2.2999999999999998</v>
      </c>
      <c r="B65" s="7" t="s">
        <v>103</v>
      </c>
      <c r="C65" s="8">
        <f t="shared" ref="C65:Q65" si="61">C66+C70+C75+C82+C87+C92+C95</f>
        <v>38955207</v>
      </c>
      <c r="D65" s="8">
        <f t="shared" si="61"/>
        <v>10150410.879999999</v>
      </c>
      <c r="E65" s="8">
        <f t="shared" si="61"/>
        <v>0</v>
      </c>
      <c r="F65" s="8">
        <f t="shared" si="61"/>
        <v>0</v>
      </c>
      <c r="G65" s="8">
        <f t="shared" si="61"/>
        <v>0</v>
      </c>
      <c r="H65" s="8">
        <f t="shared" si="61"/>
        <v>0</v>
      </c>
      <c r="I65" s="8">
        <f t="shared" si="61"/>
        <v>2823491.93</v>
      </c>
      <c r="J65" s="8">
        <f t="shared" si="61"/>
        <v>1031707.6400000001</v>
      </c>
      <c r="K65" s="8">
        <f t="shared" si="61"/>
        <v>3116614.1100000003</v>
      </c>
      <c r="L65" s="8">
        <f t="shared" si="61"/>
        <v>1955584.02</v>
      </c>
      <c r="M65" s="8">
        <f t="shared" si="61"/>
        <v>1657682.32</v>
      </c>
      <c r="N65" s="8">
        <f t="shared" si="61"/>
        <v>19839715.720000003</v>
      </c>
      <c r="O65" s="8">
        <f t="shared" ref="O65:P65" si="62">O66+O70+O75+O82+O87+O92+O95</f>
        <v>2896357.4699999997</v>
      </c>
      <c r="P65" s="8">
        <f t="shared" si="62"/>
        <v>12851927.09</v>
      </c>
      <c r="Q65" s="8">
        <f t="shared" si="61"/>
        <v>46173080.299999997</v>
      </c>
    </row>
    <row r="66" spans="1:17" ht="25.5" customHeight="1" x14ac:dyDescent="0.35">
      <c r="A66" s="10" t="s">
        <v>104</v>
      </c>
      <c r="B66" s="11" t="s">
        <v>105</v>
      </c>
      <c r="C66" s="12">
        <f>SUM(C67:C69)</f>
        <v>1770000</v>
      </c>
      <c r="D66" s="12">
        <f>SUM(D67:D69)</f>
        <v>655880.65</v>
      </c>
      <c r="E66" s="12">
        <f>SUM(E67:E69)</f>
        <v>0</v>
      </c>
      <c r="F66" s="12">
        <f t="shared" ref="F66:K66" si="63">SUM(F67:F69)</f>
        <v>0</v>
      </c>
      <c r="G66" s="12">
        <f t="shared" si="63"/>
        <v>0</v>
      </c>
      <c r="H66" s="12">
        <f t="shared" si="63"/>
        <v>0</v>
      </c>
      <c r="I66" s="12">
        <f t="shared" si="63"/>
        <v>103697.44</v>
      </c>
      <c r="J66" s="12">
        <f t="shared" si="63"/>
        <v>0</v>
      </c>
      <c r="K66" s="12">
        <f t="shared" si="63"/>
        <v>29773.200000000001</v>
      </c>
      <c r="L66" s="12">
        <f t="shared" ref="L66:M66" si="64">SUM(L67:L69)</f>
        <v>223015</v>
      </c>
      <c r="M66" s="12">
        <f t="shared" si="64"/>
        <v>150407.44</v>
      </c>
      <c r="N66" s="12">
        <f t="shared" ref="N66:O66" si="65">SUM(N67:N69)</f>
        <v>0</v>
      </c>
      <c r="O66" s="12">
        <f t="shared" si="65"/>
        <v>17949.849999999999</v>
      </c>
      <c r="P66" s="12">
        <f t="shared" ref="P66" si="66">SUM(P67:P69)</f>
        <v>1568563</v>
      </c>
      <c r="Q66" s="12">
        <f>SUM(Q67:Q69)</f>
        <v>2093405.93</v>
      </c>
    </row>
    <row r="67" spans="1:17" ht="25.5" customHeight="1" x14ac:dyDescent="0.35">
      <c r="A67" s="13" t="s">
        <v>106</v>
      </c>
      <c r="B67" s="13" t="s">
        <v>107</v>
      </c>
      <c r="C67" s="16">
        <v>1620000</v>
      </c>
      <c r="D67" s="16">
        <v>744545.65</v>
      </c>
      <c r="E67" s="16">
        <v>0</v>
      </c>
      <c r="F67" s="16">
        <v>0</v>
      </c>
      <c r="G67" s="16">
        <v>0</v>
      </c>
      <c r="H67" s="16">
        <v>0</v>
      </c>
      <c r="I67" s="16">
        <v>103697.44</v>
      </c>
      <c r="J67" s="16">
        <v>0</v>
      </c>
      <c r="K67" s="16">
        <v>25682.2</v>
      </c>
      <c r="L67" s="16">
        <v>223015</v>
      </c>
      <c r="M67" s="16">
        <v>136215.44</v>
      </c>
      <c r="N67" s="16">
        <v>0</v>
      </c>
      <c r="O67" s="16">
        <v>5449.85</v>
      </c>
      <c r="P67" s="16">
        <f>1540017.35+22545.65</f>
        <v>1562563</v>
      </c>
      <c r="Q67" s="16">
        <f t="shared" ref="Q67:Q69" si="67">SUM(E67:P67)</f>
        <v>2056622.93</v>
      </c>
    </row>
    <row r="68" spans="1:17" ht="25.5" customHeight="1" x14ac:dyDescent="0.35">
      <c r="A68" s="13" t="s">
        <v>108</v>
      </c>
      <c r="B68" s="13" t="s">
        <v>109</v>
      </c>
      <c r="C68" s="16">
        <v>100000</v>
      </c>
      <c r="D68" s="16">
        <v>-77333.33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4091</v>
      </c>
      <c r="L68" s="16">
        <v>0</v>
      </c>
      <c r="M68" s="16">
        <v>0</v>
      </c>
      <c r="N68" s="16">
        <v>0</v>
      </c>
      <c r="O68" s="16">
        <v>12500</v>
      </c>
      <c r="P68" s="16">
        <v>6000</v>
      </c>
      <c r="Q68" s="16">
        <f t="shared" si="67"/>
        <v>22591</v>
      </c>
    </row>
    <row r="69" spans="1:17" ht="25.5" customHeight="1" x14ac:dyDescent="0.35">
      <c r="A69" s="13" t="s">
        <v>110</v>
      </c>
      <c r="B69" s="13" t="s">
        <v>111</v>
      </c>
      <c r="C69" s="16">
        <v>50000</v>
      </c>
      <c r="D69" s="16">
        <v>-11331.67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14192</v>
      </c>
      <c r="N69" s="16">
        <v>0</v>
      </c>
      <c r="O69" s="16">
        <v>0</v>
      </c>
      <c r="P69" s="16">
        <v>0</v>
      </c>
      <c r="Q69" s="16">
        <f t="shared" si="67"/>
        <v>14192</v>
      </c>
    </row>
    <row r="70" spans="1:17" ht="25.5" customHeight="1" x14ac:dyDescent="0.35">
      <c r="A70" s="10" t="s">
        <v>112</v>
      </c>
      <c r="B70" s="11" t="s">
        <v>113</v>
      </c>
      <c r="C70" s="12">
        <f>SUM(C71:C74)</f>
        <v>6322195</v>
      </c>
      <c r="D70" s="12">
        <f>SUM(D71:D74)</f>
        <v>-1925544.02</v>
      </c>
      <c r="E70" s="12">
        <f>SUM(E71:E74)</f>
        <v>0</v>
      </c>
      <c r="F70" s="12">
        <f t="shared" ref="F70:K70" si="68">SUM(F71:F74)</f>
        <v>0</v>
      </c>
      <c r="G70" s="12">
        <f t="shared" si="68"/>
        <v>0</v>
      </c>
      <c r="H70" s="12">
        <f t="shared" si="68"/>
        <v>0</v>
      </c>
      <c r="I70" s="12">
        <f t="shared" si="68"/>
        <v>0</v>
      </c>
      <c r="J70" s="12">
        <f t="shared" si="68"/>
        <v>0</v>
      </c>
      <c r="K70" s="12">
        <f t="shared" si="68"/>
        <v>68091.899999999994</v>
      </c>
      <c r="L70" s="12">
        <f t="shared" ref="L70:M70" si="69">SUM(L71:L74)</f>
        <v>70894.399999999994</v>
      </c>
      <c r="M70" s="12">
        <f t="shared" si="69"/>
        <v>2865</v>
      </c>
      <c r="N70" s="12">
        <f t="shared" ref="N70:O70" si="70">SUM(N71:N74)</f>
        <v>64576.68</v>
      </c>
      <c r="O70" s="12">
        <f t="shared" si="70"/>
        <v>786347.8</v>
      </c>
      <c r="P70" s="12">
        <f t="shared" ref="P70" si="71">SUM(P71:P74)</f>
        <v>2527654.4</v>
      </c>
      <c r="Q70" s="12">
        <f>SUM(Q71:Q74)</f>
        <v>3520430.18</v>
      </c>
    </row>
    <row r="71" spans="1:17" ht="25.5" customHeight="1" x14ac:dyDescent="0.35">
      <c r="A71" s="13" t="s">
        <v>114</v>
      </c>
      <c r="B71" s="13" t="s">
        <v>115</v>
      </c>
      <c r="C71" s="16">
        <v>0</v>
      </c>
      <c r="D71" s="16">
        <v>47682.400000000001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6136</v>
      </c>
      <c r="L71" s="16">
        <v>41276.400000000001</v>
      </c>
      <c r="M71" s="16">
        <v>270</v>
      </c>
      <c r="N71" s="16">
        <v>0</v>
      </c>
      <c r="O71" s="16">
        <v>0</v>
      </c>
      <c r="P71" s="16">
        <v>0</v>
      </c>
      <c r="Q71" s="16">
        <f t="shared" ref="Q71:Q74" si="72">SUM(E71:P71)</f>
        <v>47682.400000000001</v>
      </c>
    </row>
    <row r="72" spans="1:17" ht="25.5" customHeight="1" x14ac:dyDescent="0.35">
      <c r="A72" s="13" t="s">
        <v>116</v>
      </c>
      <c r="B72" s="13" t="s">
        <v>117</v>
      </c>
      <c r="C72" s="16">
        <v>50000</v>
      </c>
      <c r="D72" s="16">
        <v>106150.58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61955.9</v>
      </c>
      <c r="L72" s="16">
        <v>29618</v>
      </c>
      <c r="M72" s="16">
        <v>0</v>
      </c>
      <c r="N72" s="16">
        <v>64576.68</v>
      </c>
      <c r="O72" s="16"/>
      <c r="P72" s="16">
        <v>0</v>
      </c>
      <c r="Q72" s="16">
        <f t="shared" si="72"/>
        <v>156150.57999999999</v>
      </c>
    </row>
    <row r="73" spans="1:17" ht="25.5" customHeight="1" x14ac:dyDescent="0.35">
      <c r="A73" s="13" t="s">
        <v>118</v>
      </c>
      <c r="B73" s="13" t="s">
        <v>119</v>
      </c>
      <c r="C73" s="16">
        <v>4006595</v>
      </c>
      <c r="D73" s="16">
        <v>184314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2595</v>
      </c>
      <c r="N73" s="16">
        <v>0</v>
      </c>
      <c r="O73" s="16">
        <v>786347.8</v>
      </c>
      <c r="P73" s="16">
        <v>2527654.4</v>
      </c>
      <c r="Q73" s="16">
        <f t="shared" si="72"/>
        <v>3316597.2</v>
      </c>
    </row>
    <row r="74" spans="1:17" ht="25.5" customHeight="1" x14ac:dyDescent="0.35">
      <c r="A74" s="13" t="s">
        <v>120</v>
      </c>
      <c r="B74" s="13" t="s">
        <v>121</v>
      </c>
      <c r="C74" s="16">
        <v>2265600</v>
      </c>
      <c r="D74" s="16">
        <v>-2263691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f t="shared" si="72"/>
        <v>0</v>
      </c>
    </row>
    <row r="75" spans="1:17" ht="25.5" customHeight="1" x14ac:dyDescent="0.35">
      <c r="A75" s="10" t="s">
        <v>122</v>
      </c>
      <c r="B75" s="11" t="s">
        <v>123</v>
      </c>
      <c r="C75" s="12">
        <f>SUM(C76:C81)</f>
        <v>3049000</v>
      </c>
      <c r="D75" s="12">
        <f>SUM(D76:D81)</f>
        <v>-561561.72</v>
      </c>
      <c r="E75" s="12">
        <f>SUM(E76:E81)</f>
        <v>0</v>
      </c>
      <c r="F75" s="12">
        <f t="shared" ref="F75:K75" si="73">SUM(F76:F81)</f>
        <v>0</v>
      </c>
      <c r="G75" s="12">
        <f t="shared" si="73"/>
        <v>0</v>
      </c>
      <c r="H75" s="12">
        <f t="shared" si="73"/>
        <v>0</v>
      </c>
      <c r="I75" s="12">
        <f t="shared" si="73"/>
        <v>0</v>
      </c>
      <c r="J75" s="12">
        <f t="shared" si="73"/>
        <v>31275.43</v>
      </c>
      <c r="K75" s="12">
        <f t="shared" si="73"/>
        <v>216252.42</v>
      </c>
      <c r="L75" s="12">
        <f t="shared" ref="L75:M75" si="74">SUM(L76:L81)</f>
        <v>27735.79</v>
      </c>
      <c r="M75" s="12">
        <f t="shared" si="74"/>
        <v>20324</v>
      </c>
      <c r="N75" s="12">
        <f t="shared" ref="N75:O75" si="75">SUM(N76:N81)</f>
        <v>365573.39</v>
      </c>
      <c r="O75" s="12">
        <f t="shared" si="75"/>
        <v>1357</v>
      </c>
      <c r="P75" s="12">
        <f t="shared" ref="P75" si="76">SUM(P76:P81)</f>
        <v>1032784.68</v>
      </c>
      <c r="Q75" s="12">
        <f>SUM(Q76:Q81)</f>
        <v>1695302.7099999997</v>
      </c>
    </row>
    <row r="76" spans="1:17" ht="25.5" customHeight="1" x14ac:dyDescent="0.35">
      <c r="A76" s="13" t="s">
        <v>124</v>
      </c>
      <c r="B76" s="13" t="s">
        <v>125</v>
      </c>
      <c r="C76" s="16">
        <v>1144000</v>
      </c>
      <c r="D76" s="16">
        <v>-283657.65000000002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68676</v>
      </c>
      <c r="L76" s="16"/>
      <c r="M76" s="16">
        <v>3515</v>
      </c>
      <c r="N76" s="16">
        <v>286665.14</v>
      </c>
      <c r="O76" s="16"/>
      <c r="P76" s="16">
        <v>5886</v>
      </c>
      <c r="Q76" s="16">
        <f t="shared" ref="Q76:Q81" si="77">SUM(E76:P76)</f>
        <v>364742.14</v>
      </c>
    </row>
    <row r="77" spans="1:17" ht="25.5" customHeight="1" x14ac:dyDescent="0.35">
      <c r="A77" s="13" t="s">
        <v>126</v>
      </c>
      <c r="B77" s="13" t="s">
        <v>127</v>
      </c>
      <c r="C77" s="16">
        <v>1055000</v>
      </c>
      <c r="D77" s="16">
        <v>412792.5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31275.43</v>
      </c>
      <c r="K77" s="16">
        <v>61979.25</v>
      </c>
      <c r="L77" s="16">
        <v>20039.400000000001</v>
      </c>
      <c r="M77" s="16">
        <v>16809</v>
      </c>
      <c r="N77" s="16">
        <v>68086</v>
      </c>
      <c r="O77" s="16"/>
      <c r="P77" s="16">
        <f>967206.18+8362.5</f>
        <v>975568.68</v>
      </c>
      <c r="Q77" s="16">
        <f t="shared" si="77"/>
        <v>1173757.76</v>
      </c>
    </row>
    <row r="78" spans="1:17" ht="25.5" customHeight="1" x14ac:dyDescent="0.35">
      <c r="A78" s="13" t="s">
        <v>128</v>
      </c>
      <c r="B78" s="13" t="s">
        <v>129</v>
      </c>
      <c r="C78" s="16">
        <v>850000</v>
      </c>
      <c r="D78" s="16">
        <v>-781364.07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55397.79</v>
      </c>
      <c r="L78" s="16">
        <v>7696.39</v>
      </c>
      <c r="M78" s="16">
        <v>0</v>
      </c>
      <c r="N78" s="16">
        <v>4184.75</v>
      </c>
      <c r="O78" s="16">
        <v>1357</v>
      </c>
      <c r="P78" s="16">
        <v>0</v>
      </c>
      <c r="Q78" s="16">
        <f t="shared" si="77"/>
        <v>68635.929999999993</v>
      </c>
    </row>
    <row r="79" spans="1:17" ht="25.5" customHeight="1" x14ac:dyDescent="0.35">
      <c r="A79" s="13" t="s">
        <v>247</v>
      </c>
      <c r="B79" s="13" t="s">
        <v>248</v>
      </c>
      <c r="C79" s="16">
        <v>0</v>
      </c>
      <c r="D79" s="16">
        <v>57967.5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6637.5</v>
      </c>
      <c r="O79" s="16"/>
      <c r="P79" s="16">
        <v>51330</v>
      </c>
      <c r="Q79" s="16">
        <f t="shared" si="77"/>
        <v>57967.5</v>
      </c>
    </row>
    <row r="80" spans="1:17" ht="25.5" customHeight="1" x14ac:dyDescent="0.35">
      <c r="A80" s="13" t="s">
        <v>232</v>
      </c>
      <c r="B80" s="13" t="s">
        <v>233</v>
      </c>
      <c r="C80" s="16">
        <v>0</v>
      </c>
      <c r="D80" s="16">
        <v>30000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29999.38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f t="shared" si="77"/>
        <v>29999.38</v>
      </c>
    </row>
    <row r="81" spans="1:17" ht="25.5" customHeight="1" x14ac:dyDescent="0.35">
      <c r="A81" s="13" t="s">
        <v>130</v>
      </c>
      <c r="B81" s="13" t="s">
        <v>131</v>
      </c>
      <c r="C81" s="16">
        <v>0</v>
      </c>
      <c r="D81" s="16">
        <v>2700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200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f t="shared" si="77"/>
        <v>200</v>
      </c>
    </row>
    <row r="82" spans="1:17" ht="25.5" customHeight="1" x14ac:dyDescent="0.35">
      <c r="A82" s="10" t="s">
        <v>132</v>
      </c>
      <c r="B82" s="11" t="s">
        <v>133</v>
      </c>
      <c r="C82" s="12">
        <f>SUM(C83:C86)</f>
        <v>2480000</v>
      </c>
      <c r="D82" s="12">
        <f>SUM(D83:D86)</f>
        <v>-1916974.42</v>
      </c>
      <c r="E82" s="12">
        <f>SUM(E83:E86)</f>
        <v>0</v>
      </c>
      <c r="F82" s="12">
        <f t="shared" ref="F82:K82" si="78">SUM(F83:F86)</f>
        <v>0</v>
      </c>
      <c r="G82" s="12">
        <f t="shared" si="78"/>
        <v>0</v>
      </c>
      <c r="H82" s="12">
        <f t="shared" si="78"/>
        <v>0</v>
      </c>
      <c r="I82" s="12">
        <f t="shared" si="78"/>
        <v>0</v>
      </c>
      <c r="J82" s="12">
        <f t="shared" si="78"/>
        <v>0</v>
      </c>
      <c r="K82" s="12">
        <f t="shared" si="78"/>
        <v>428354</v>
      </c>
      <c r="L82" s="12">
        <f t="shared" ref="L82:M82" si="79">SUM(L83:L86)</f>
        <v>30026.59</v>
      </c>
      <c r="M82" s="12">
        <f t="shared" si="79"/>
        <v>6886.27</v>
      </c>
      <c r="N82" s="12">
        <f t="shared" ref="N82:O82" si="80">SUM(N83:N86)</f>
        <v>0</v>
      </c>
      <c r="O82" s="12">
        <f t="shared" si="80"/>
        <v>71871</v>
      </c>
      <c r="P82" s="12">
        <f t="shared" ref="P82" si="81">SUM(P83:P86)</f>
        <v>25887.55</v>
      </c>
      <c r="Q82" s="12">
        <f>SUM(Q83:Q86)</f>
        <v>563025.41</v>
      </c>
    </row>
    <row r="83" spans="1:17" ht="25.5" customHeight="1" x14ac:dyDescent="0.35">
      <c r="A83" s="13" t="s">
        <v>134</v>
      </c>
      <c r="B83" s="13" t="s">
        <v>135</v>
      </c>
      <c r="C83" s="16">
        <v>500000</v>
      </c>
      <c r="D83" s="16">
        <v>-497639.67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2360</v>
      </c>
      <c r="M83" s="16">
        <v>0</v>
      </c>
      <c r="N83" s="16">
        <v>0</v>
      </c>
      <c r="O83" s="16">
        <v>0</v>
      </c>
      <c r="P83" s="16">
        <v>0</v>
      </c>
      <c r="Q83" s="16">
        <f t="shared" ref="Q83:Q86" si="82">SUM(E83:P83)</f>
        <v>2360</v>
      </c>
    </row>
    <row r="84" spans="1:17" ht="25.5" customHeight="1" x14ac:dyDescent="0.35">
      <c r="A84" s="13" t="s">
        <v>136</v>
      </c>
      <c r="B84" s="13" t="s">
        <v>137</v>
      </c>
      <c r="C84" s="16">
        <v>1450000</v>
      </c>
      <c r="D84" s="16">
        <v>-1039145.33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410854</v>
      </c>
      <c r="L84" s="16"/>
      <c r="M84" s="16">
        <v>0</v>
      </c>
      <c r="N84" s="16">
        <v>0</v>
      </c>
      <c r="O84" s="16">
        <v>0</v>
      </c>
      <c r="P84" s="16">
        <v>0</v>
      </c>
      <c r="Q84" s="16">
        <f t="shared" si="82"/>
        <v>410854</v>
      </c>
    </row>
    <row r="85" spans="1:17" ht="25.5" customHeight="1" x14ac:dyDescent="0.35">
      <c r="A85" s="13" t="s">
        <v>138</v>
      </c>
      <c r="B85" s="13" t="s">
        <v>139</v>
      </c>
      <c r="C85" s="16">
        <v>150000</v>
      </c>
      <c r="D85" s="16">
        <v>-124548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f t="shared" si="82"/>
        <v>0</v>
      </c>
    </row>
    <row r="86" spans="1:17" ht="25.5" customHeight="1" x14ac:dyDescent="0.35">
      <c r="A86" s="13" t="s">
        <v>140</v>
      </c>
      <c r="B86" s="13" t="s">
        <v>141</v>
      </c>
      <c r="C86" s="16">
        <v>380000</v>
      </c>
      <c r="D86" s="16">
        <v>-255641.42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17500</v>
      </c>
      <c r="L86" s="16">
        <v>27666.59</v>
      </c>
      <c r="M86" s="16">
        <v>6886.27</v>
      </c>
      <c r="N86" s="16">
        <v>0</v>
      </c>
      <c r="O86" s="16">
        <v>71871</v>
      </c>
      <c r="P86" s="16">
        <f>18862.3+7025.25</f>
        <v>25887.55</v>
      </c>
      <c r="Q86" s="16">
        <f t="shared" si="82"/>
        <v>149811.41</v>
      </c>
    </row>
    <row r="87" spans="1:17" ht="25.5" customHeight="1" x14ac:dyDescent="0.35">
      <c r="A87" s="10" t="s">
        <v>142</v>
      </c>
      <c r="B87" s="11" t="s">
        <v>143</v>
      </c>
      <c r="C87" s="12">
        <f>SUM(C88:C91)</f>
        <v>970000</v>
      </c>
      <c r="D87" s="12">
        <f>SUM(D88:D91)</f>
        <v>515766.23999999993</v>
      </c>
      <c r="E87" s="12">
        <f>SUM(E88:E91)</f>
        <v>0</v>
      </c>
      <c r="F87" s="12">
        <f t="shared" ref="F87:K87" si="83">SUM(F88:F91)</f>
        <v>0</v>
      </c>
      <c r="G87" s="12">
        <f t="shared" si="83"/>
        <v>0</v>
      </c>
      <c r="H87" s="12">
        <f t="shared" si="83"/>
        <v>0</v>
      </c>
      <c r="I87" s="12">
        <f t="shared" si="83"/>
        <v>0</v>
      </c>
      <c r="J87" s="12">
        <f t="shared" si="83"/>
        <v>0</v>
      </c>
      <c r="K87" s="12">
        <f t="shared" si="83"/>
        <v>50280.74</v>
      </c>
      <c r="L87" s="12">
        <f t="shared" ref="L87:M87" si="84">SUM(L88:L91)</f>
        <v>95032.39</v>
      </c>
      <c r="M87" s="12">
        <f t="shared" si="84"/>
        <v>289160.36</v>
      </c>
      <c r="N87" s="12">
        <f t="shared" ref="N87:O87" si="85">SUM(N88:N91)</f>
        <v>0</v>
      </c>
      <c r="O87" s="12">
        <f t="shared" si="85"/>
        <v>76110</v>
      </c>
      <c r="P87" s="12">
        <f t="shared" ref="P87" si="86">SUM(P88:P91)</f>
        <v>972426.48</v>
      </c>
      <c r="Q87" s="12">
        <f>SUM(Q88:Q91)</f>
        <v>1483009.9699999997</v>
      </c>
    </row>
    <row r="88" spans="1:17" ht="25.5" customHeight="1" x14ac:dyDescent="0.35">
      <c r="A88" s="13" t="s">
        <v>144</v>
      </c>
      <c r="B88" s="13" t="s">
        <v>145</v>
      </c>
      <c r="C88" s="16">
        <v>100000</v>
      </c>
      <c r="D88" s="16">
        <v>-99614.83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190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f t="shared" ref="Q88:Q91" si="87">SUM(E88:P88)</f>
        <v>190</v>
      </c>
    </row>
    <row r="89" spans="1:17" ht="25.5" customHeight="1" x14ac:dyDescent="0.35">
      <c r="A89" s="13" t="s">
        <v>146</v>
      </c>
      <c r="B89" s="13" t="s">
        <v>147</v>
      </c>
      <c r="C89" s="16">
        <v>170000</v>
      </c>
      <c r="D89" s="16">
        <v>-62660.6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3860</v>
      </c>
      <c r="L89" s="16">
        <v>27347.42</v>
      </c>
      <c r="M89" s="16">
        <v>0</v>
      </c>
      <c r="N89" s="16">
        <v>0</v>
      </c>
      <c r="O89" s="16">
        <v>76110</v>
      </c>
      <c r="P89" s="16">
        <v>0</v>
      </c>
      <c r="Q89" s="16">
        <f t="shared" si="87"/>
        <v>107317.42</v>
      </c>
    </row>
    <row r="90" spans="1:17" ht="25.5" customHeight="1" x14ac:dyDescent="0.35">
      <c r="A90" s="13" t="s">
        <v>148</v>
      </c>
      <c r="B90" s="13" t="s">
        <v>149</v>
      </c>
      <c r="C90" s="16">
        <v>650000</v>
      </c>
      <c r="D90" s="16">
        <v>728008.34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46230.74</v>
      </c>
      <c r="L90" s="16">
        <v>67684.97</v>
      </c>
      <c r="M90" s="16">
        <v>289160.36</v>
      </c>
      <c r="N90" s="16">
        <v>0</v>
      </c>
      <c r="O90" s="16">
        <v>0</v>
      </c>
      <c r="P90" s="16">
        <f>969351.48+3075</f>
        <v>972426.48</v>
      </c>
      <c r="Q90" s="16">
        <f t="shared" si="87"/>
        <v>1375502.5499999998</v>
      </c>
    </row>
    <row r="91" spans="1:17" ht="25.5" customHeight="1" x14ac:dyDescent="0.35">
      <c r="A91" s="13" t="s">
        <v>150</v>
      </c>
      <c r="B91" s="13" t="s">
        <v>151</v>
      </c>
      <c r="C91" s="16">
        <v>50000</v>
      </c>
      <c r="D91" s="16">
        <v>-49966.67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f t="shared" si="87"/>
        <v>0</v>
      </c>
    </row>
    <row r="92" spans="1:17" ht="25.5" customHeight="1" x14ac:dyDescent="0.35">
      <c r="A92" s="10" t="s">
        <v>152</v>
      </c>
      <c r="B92" s="11" t="s">
        <v>153</v>
      </c>
      <c r="C92" s="12">
        <f t="shared" ref="C92:Q92" si="88">SUM(C93:C94)</f>
        <v>17514012</v>
      </c>
      <c r="D92" s="12">
        <f t="shared" si="88"/>
        <v>-4934310.41</v>
      </c>
      <c r="E92" s="12">
        <f t="shared" si="88"/>
        <v>0</v>
      </c>
      <c r="F92" s="12">
        <f t="shared" si="88"/>
        <v>0</v>
      </c>
      <c r="G92" s="12">
        <f t="shared" si="88"/>
        <v>0</v>
      </c>
      <c r="H92" s="12">
        <f t="shared" si="88"/>
        <v>0</v>
      </c>
      <c r="I92" s="12">
        <f t="shared" si="88"/>
        <v>2093414.51</v>
      </c>
      <c r="J92" s="12">
        <f t="shared" si="88"/>
        <v>816499.53</v>
      </c>
      <c r="K92" s="12">
        <f t="shared" si="88"/>
        <v>2008750.23</v>
      </c>
      <c r="L92" s="12">
        <f t="shared" si="88"/>
        <v>598688.28999999992</v>
      </c>
      <c r="M92" s="12">
        <f t="shared" si="88"/>
        <v>603367.26</v>
      </c>
      <c r="N92" s="12">
        <f t="shared" si="88"/>
        <v>631552.25</v>
      </c>
      <c r="O92" s="12">
        <f t="shared" ref="O92:P92" si="89">SUM(O93:O94)</f>
        <v>1445943</v>
      </c>
      <c r="P92" s="12">
        <f t="shared" si="89"/>
        <v>4370615.9800000004</v>
      </c>
      <c r="Q92" s="12">
        <f t="shared" si="88"/>
        <v>12568831.050000001</v>
      </c>
    </row>
    <row r="93" spans="1:17" ht="25.5" customHeight="1" x14ac:dyDescent="0.35">
      <c r="A93" s="13" t="s">
        <v>154</v>
      </c>
      <c r="B93" s="13" t="s">
        <v>155</v>
      </c>
      <c r="C93" s="16">
        <v>15949012</v>
      </c>
      <c r="D93" s="16">
        <v>-4382565.25</v>
      </c>
      <c r="E93" s="16">
        <v>0</v>
      </c>
      <c r="F93" s="16">
        <v>0</v>
      </c>
      <c r="G93" s="16">
        <v>0</v>
      </c>
      <c r="H93" s="16">
        <v>0</v>
      </c>
      <c r="I93" s="16">
        <v>2093414.51</v>
      </c>
      <c r="J93" s="16">
        <v>806941.53</v>
      </c>
      <c r="K93" s="16">
        <v>1982212.44</v>
      </c>
      <c r="L93" s="16">
        <v>586115.46</v>
      </c>
      <c r="M93" s="16">
        <v>595597.25</v>
      </c>
      <c r="N93" s="16">
        <v>631552.25</v>
      </c>
      <c r="O93" s="16">
        <v>549615</v>
      </c>
      <c r="P93" s="16">
        <f>4058588.99+269288.48</f>
        <v>4327877.4700000007</v>
      </c>
      <c r="Q93" s="16">
        <f t="shared" ref="Q93:Q94" si="90">SUM(E93:P93)</f>
        <v>11573325.91</v>
      </c>
    </row>
    <row r="94" spans="1:17" ht="25.5" customHeight="1" x14ac:dyDescent="0.35">
      <c r="A94" s="13" t="s">
        <v>156</v>
      </c>
      <c r="B94" s="13" t="s">
        <v>157</v>
      </c>
      <c r="C94" s="16">
        <v>1565000</v>
      </c>
      <c r="D94" s="16">
        <v>-551745.16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9558</v>
      </c>
      <c r="K94" s="16">
        <v>26537.79</v>
      </c>
      <c r="L94" s="16">
        <v>12572.83</v>
      </c>
      <c r="M94" s="16">
        <v>7770.01</v>
      </c>
      <c r="N94" s="16">
        <v>0</v>
      </c>
      <c r="O94" s="16">
        <v>896328</v>
      </c>
      <c r="P94" s="16">
        <f>4130+38608.51</f>
        <v>42738.51</v>
      </c>
      <c r="Q94" s="16">
        <f t="shared" si="90"/>
        <v>995505.14</v>
      </c>
    </row>
    <row r="95" spans="1:17" ht="25.5" customHeight="1" x14ac:dyDescent="0.35">
      <c r="A95" s="10" t="s">
        <v>158</v>
      </c>
      <c r="B95" s="11" t="s">
        <v>159</v>
      </c>
      <c r="C95" s="12">
        <f>SUM(C96:C102)</f>
        <v>6850000</v>
      </c>
      <c r="D95" s="12">
        <f>SUM(D96:D102)</f>
        <v>18317154.559999999</v>
      </c>
      <c r="E95" s="12">
        <f>SUM(E96:E102)</f>
        <v>0</v>
      </c>
      <c r="F95" s="12">
        <f t="shared" ref="F95:K95" si="91">SUM(F96:F102)</f>
        <v>0</v>
      </c>
      <c r="G95" s="12">
        <f t="shared" si="91"/>
        <v>0</v>
      </c>
      <c r="H95" s="12">
        <f t="shared" si="91"/>
        <v>0</v>
      </c>
      <c r="I95" s="12">
        <f t="shared" si="91"/>
        <v>626379.98</v>
      </c>
      <c r="J95" s="12">
        <f t="shared" si="91"/>
        <v>183932.68000000002</v>
      </c>
      <c r="K95" s="12">
        <f t="shared" si="91"/>
        <v>315111.62</v>
      </c>
      <c r="L95" s="12">
        <f t="shared" ref="L95:M95" si="92">SUM(L96:L102)</f>
        <v>910191.56</v>
      </c>
      <c r="M95" s="12">
        <f t="shared" si="92"/>
        <v>584671.99</v>
      </c>
      <c r="N95" s="12">
        <f t="shared" ref="N95:O95" si="93">SUM(N96:N102)</f>
        <v>18778013.400000002</v>
      </c>
      <c r="O95" s="12">
        <f t="shared" si="93"/>
        <v>496778.81999999995</v>
      </c>
      <c r="P95" s="12">
        <f t="shared" ref="P95" si="94">SUM(P96:P102)</f>
        <v>2353995</v>
      </c>
      <c r="Q95" s="12">
        <f>SUM(Q96:Q102)</f>
        <v>24249075.049999997</v>
      </c>
    </row>
    <row r="96" spans="1:17" ht="25.5" customHeight="1" x14ac:dyDescent="0.35">
      <c r="A96" s="13" t="s">
        <v>160</v>
      </c>
      <c r="B96" s="13" t="s">
        <v>161</v>
      </c>
      <c r="C96" s="16">
        <v>2050000</v>
      </c>
      <c r="D96" s="16">
        <v>-1503103.15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68581.600000000006</v>
      </c>
      <c r="K96" s="16">
        <v>298.95</v>
      </c>
      <c r="L96" s="16">
        <v>1828.45</v>
      </c>
      <c r="M96" s="16">
        <v>105955.43</v>
      </c>
      <c r="N96" s="16">
        <v>142318.62</v>
      </c>
      <c r="O96" s="16">
        <v>49238</v>
      </c>
      <c r="P96" s="16">
        <f>64534.2+799.8</f>
        <v>65334</v>
      </c>
      <c r="Q96" s="16">
        <f t="shared" ref="Q96:Q102" si="95">SUM(E96:P96)</f>
        <v>433555.05</v>
      </c>
    </row>
    <row r="97" spans="1:17" ht="25.5" customHeight="1" x14ac:dyDescent="0.35">
      <c r="A97" s="13" t="s">
        <v>162</v>
      </c>
      <c r="B97" s="13" t="s">
        <v>163</v>
      </c>
      <c r="C97" s="16">
        <v>2300000</v>
      </c>
      <c r="D97" s="16">
        <v>19079862.039999999</v>
      </c>
      <c r="E97" s="16">
        <v>0</v>
      </c>
      <c r="F97" s="16">
        <v>0</v>
      </c>
      <c r="G97" s="16">
        <v>0</v>
      </c>
      <c r="H97" s="16">
        <v>0</v>
      </c>
      <c r="I97" s="16">
        <v>326379.98</v>
      </c>
      <c r="J97" s="16">
        <v>39780.480000000003</v>
      </c>
      <c r="K97" s="16">
        <v>177190.29</v>
      </c>
      <c r="L97" s="16">
        <v>717354.8</v>
      </c>
      <c r="M97" s="16">
        <v>213805.6</v>
      </c>
      <c r="N97" s="16">
        <v>18370116.460000001</v>
      </c>
      <c r="O97" s="16">
        <v>271380.78999999998</v>
      </c>
      <c r="P97" s="16">
        <f>1245021.19+15020.03</f>
        <v>1260041.22</v>
      </c>
      <c r="Q97" s="16">
        <f t="shared" si="95"/>
        <v>21376049.619999997</v>
      </c>
    </row>
    <row r="98" spans="1:17" ht="25.5" customHeight="1" x14ac:dyDescent="0.35">
      <c r="A98" s="13" t="s">
        <v>260</v>
      </c>
      <c r="B98" s="13" t="s">
        <v>261</v>
      </c>
      <c r="C98" s="16">
        <v>0</v>
      </c>
      <c r="D98" s="16">
        <v>35932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35931.61</v>
      </c>
      <c r="P98" s="16">
        <v>0</v>
      </c>
      <c r="Q98" s="16">
        <f t="shared" si="95"/>
        <v>35931.61</v>
      </c>
    </row>
    <row r="99" spans="1:17" ht="25.5" customHeight="1" x14ac:dyDescent="0.35">
      <c r="A99" s="13" t="s">
        <v>164</v>
      </c>
      <c r="B99" s="13" t="s">
        <v>165</v>
      </c>
      <c r="C99" s="16">
        <v>200000</v>
      </c>
      <c r="D99" s="16">
        <v>384028.33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21198.7</v>
      </c>
      <c r="K99" s="16">
        <v>8675</v>
      </c>
      <c r="L99" s="16">
        <v>48590.43</v>
      </c>
      <c r="M99" s="16">
        <v>126535.75</v>
      </c>
      <c r="N99" s="16">
        <v>247619.46</v>
      </c>
      <c r="O99" s="16">
        <v>0</v>
      </c>
      <c r="P99" s="16">
        <v>131408</v>
      </c>
      <c r="Q99" s="16">
        <f t="shared" si="95"/>
        <v>584027.34</v>
      </c>
    </row>
    <row r="100" spans="1:17" ht="25.5" customHeight="1" x14ac:dyDescent="0.35">
      <c r="A100" s="13" t="s">
        <v>166</v>
      </c>
      <c r="B100" s="13" t="s">
        <v>167</v>
      </c>
      <c r="C100" s="16">
        <v>1000000</v>
      </c>
      <c r="D100" s="16">
        <v>-669191.18999999994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26527.84</v>
      </c>
      <c r="L100" s="16">
        <v>65587.960000000006</v>
      </c>
      <c r="M100" s="16">
        <v>97578.96</v>
      </c>
      <c r="N100" s="16">
        <v>0</v>
      </c>
      <c r="O100" s="16">
        <v>14813.8</v>
      </c>
      <c r="P100" s="16">
        <f>97461.85+31238.2</f>
        <v>128700.05</v>
      </c>
      <c r="Q100" s="16">
        <f t="shared" si="95"/>
        <v>333208.61</v>
      </c>
    </row>
    <row r="101" spans="1:17" ht="25.5" customHeight="1" x14ac:dyDescent="0.35">
      <c r="A101" s="13" t="s">
        <v>168</v>
      </c>
      <c r="B101" s="13" t="s">
        <v>169</v>
      </c>
      <c r="C101" s="16">
        <v>0</v>
      </c>
      <c r="D101" s="16">
        <v>463658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19143.97</v>
      </c>
      <c r="L101" s="16">
        <v>47911.24</v>
      </c>
      <c r="M101" s="16">
        <v>22998.2</v>
      </c>
      <c r="N101" s="16">
        <v>14103.36</v>
      </c>
      <c r="O101" s="16">
        <v>110796.1</v>
      </c>
      <c r="P101" s="16">
        <v>248704.94</v>
      </c>
      <c r="Q101" s="16">
        <f t="shared" si="95"/>
        <v>463657.81</v>
      </c>
    </row>
    <row r="102" spans="1:17" ht="25.5" customHeight="1" x14ac:dyDescent="0.35">
      <c r="A102" s="13" t="s">
        <v>170</v>
      </c>
      <c r="B102" s="13" t="s">
        <v>171</v>
      </c>
      <c r="C102" s="16">
        <v>1300000</v>
      </c>
      <c r="D102" s="16">
        <v>525968.53</v>
      </c>
      <c r="E102" s="16">
        <v>0</v>
      </c>
      <c r="F102" s="16">
        <v>0</v>
      </c>
      <c r="G102" s="16">
        <v>0</v>
      </c>
      <c r="H102" s="16">
        <v>0</v>
      </c>
      <c r="I102" s="16">
        <v>300000</v>
      </c>
      <c r="J102" s="16">
        <v>54371.9</v>
      </c>
      <c r="K102" s="16">
        <v>83275.570000000007</v>
      </c>
      <c r="L102" s="16">
        <v>28918.68</v>
      </c>
      <c r="M102" s="16">
        <v>17798.05</v>
      </c>
      <c r="N102" s="16">
        <v>3855.5</v>
      </c>
      <c r="O102" s="16">
        <v>14618.52</v>
      </c>
      <c r="P102" s="16">
        <f>491365.93+28440.86</f>
        <v>519806.79</v>
      </c>
      <c r="Q102" s="16">
        <f t="shared" si="95"/>
        <v>1022645.01</v>
      </c>
    </row>
    <row r="103" spans="1:17" ht="25.5" customHeight="1" x14ac:dyDescent="0.35">
      <c r="A103" s="7">
        <v>2.6</v>
      </c>
      <c r="B103" s="7" t="s">
        <v>172</v>
      </c>
      <c r="C103" s="8">
        <f>C104+C110+C114+C116+C119+C125+C129+C127</f>
        <v>77161170</v>
      </c>
      <c r="D103" s="8">
        <f>D104+D110+D114+D116+D119+D125+D129+D127</f>
        <v>-42416190.059999995</v>
      </c>
      <c r="E103" s="8">
        <f t="shared" ref="E103:P103" si="96">E104+E110+E114+E116+E119+E125+E129+E127</f>
        <v>0</v>
      </c>
      <c r="F103" s="8">
        <f t="shared" si="96"/>
        <v>0</v>
      </c>
      <c r="G103" s="8">
        <f t="shared" si="96"/>
        <v>0</v>
      </c>
      <c r="H103" s="8">
        <f t="shared" si="96"/>
        <v>0</v>
      </c>
      <c r="I103" s="8">
        <f t="shared" si="96"/>
        <v>725311.47</v>
      </c>
      <c r="J103" s="8">
        <f t="shared" si="96"/>
        <v>1286779.1199999999</v>
      </c>
      <c r="K103" s="8">
        <f t="shared" si="96"/>
        <v>179892.28</v>
      </c>
      <c r="L103" s="8">
        <f t="shared" si="96"/>
        <v>278999.90999999997</v>
      </c>
      <c r="M103" s="8">
        <f t="shared" si="96"/>
        <v>541861.02</v>
      </c>
      <c r="N103" s="8">
        <f t="shared" si="96"/>
        <v>615240.19999999995</v>
      </c>
      <c r="O103" s="8">
        <f t="shared" si="96"/>
        <v>1158365.19</v>
      </c>
      <c r="P103" s="8">
        <f t="shared" si="96"/>
        <v>26167713.59</v>
      </c>
      <c r="Q103" s="8">
        <f>Q104+Q110+Q114+Q116+Q119+Q125+Q129+Q127</f>
        <v>30954162.780000001</v>
      </c>
    </row>
    <row r="104" spans="1:17" ht="25.5" customHeight="1" x14ac:dyDescent="0.35">
      <c r="A104" s="10" t="s">
        <v>173</v>
      </c>
      <c r="B104" s="11" t="s">
        <v>174</v>
      </c>
      <c r="C104" s="12">
        <f>SUM(C105:C109)</f>
        <v>15500000</v>
      </c>
      <c r="D104" s="12">
        <f>SUM(D105:D109)</f>
        <v>4480238.01</v>
      </c>
      <c r="E104" s="12">
        <f>SUM(E105:E109)</f>
        <v>0</v>
      </c>
      <c r="F104" s="12">
        <f t="shared" ref="F104:K104" si="97">SUM(F105:F109)</f>
        <v>0</v>
      </c>
      <c r="G104" s="12">
        <f t="shared" si="97"/>
        <v>0</v>
      </c>
      <c r="H104" s="12">
        <f t="shared" si="97"/>
        <v>0</v>
      </c>
      <c r="I104" s="12">
        <f t="shared" si="97"/>
        <v>646369.47</v>
      </c>
      <c r="J104" s="12">
        <f t="shared" si="97"/>
        <v>1265784.1199999999</v>
      </c>
      <c r="K104" s="12">
        <f t="shared" si="97"/>
        <v>179892.28</v>
      </c>
      <c r="L104" s="12">
        <f t="shared" ref="L104:M104" si="98">SUM(L105:L109)</f>
        <v>0</v>
      </c>
      <c r="M104" s="12">
        <f t="shared" si="98"/>
        <v>457727.02</v>
      </c>
      <c r="N104" s="12">
        <f t="shared" ref="N104:O104" si="99">SUM(N105:N109)</f>
        <v>9912</v>
      </c>
      <c r="O104" s="12">
        <f t="shared" si="99"/>
        <v>1092805.22</v>
      </c>
      <c r="P104" s="12">
        <f>SUM(P105:P109)</f>
        <v>12834138.199999999</v>
      </c>
      <c r="Q104" s="12">
        <f>SUM(Q105:Q109)</f>
        <v>16486628.309999999</v>
      </c>
    </row>
    <row r="105" spans="1:17" ht="25.5" customHeight="1" x14ac:dyDescent="0.35">
      <c r="A105" s="13" t="s">
        <v>175</v>
      </c>
      <c r="B105" s="13" t="s">
        <v>176</v>
      </c>
      <c r="C105" s="16">
        <v>1000000</v>
      </c>
      <c r="D105" s="16">
        <v>2817478.61</v>
      </c>
      <c r="E105" s="16">
        <v>0</v>
      </c>
      <c r="F105" s="16">
        <v>0</v>
      </c>
      <c r="G105" s="16">
        <v>0</v>
      </c>
      <c r="H105" s="16">
        <v>0</v>
      </c>
      <c r="I105" s="16">
        <v>36000.03</v>
      </c>
      <c r="J105" s="16">
        <v>0</v>
      </c>
      <c r="K105" s="16">
        <v>92808.28</v>
      </c>
      <c r="L105" s="16">
        <v>0</v>
      </c>
      <c r="M105" s="16">
        <v>457727.02</v>
      </c>
      <c r="N105" s="16">
        <v>0</v>
      </c>
      <c r="O105" s="16">
        <v>1073299.82</v>
      </c>
      <c r="P105" s="16">
        <v>641977.53</v>
      </c>
      <c r="Q105" s="16">
        <f t="shared" ref="Q105:Q109" si="100">SUM(E105:P105)</f>
        <v>2301812.6800000002</v>
      </c>
    </row>
    <row r="106" spans="1:17" ht="25.5" customHeight="1" x14ac:dyDescent="0.35">
      <c r="A106" s="13" t="s">
        <v>177</v>
      </c>
      <c r="B106" s="13" t="s">
        <v>178</v>
      </c>
      <c r="C106" s="16">
        <v>0</v>
      </c>
      <c r="D106" s="16">
        <v>87084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87084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f t="shared" si="100"/>
        <v>87084</v>
      </c>
    </row>
    <row r="107" spans="1:17" ht="25.5" customHeight="1" x14ac:dyDescent="0.35">
      <c r="A107" s="13" t="s">
        <v>179</v>
      </c>
      <c r="B107" s="13" t="s">
        <v>180</v>
      </c>
      <c r="C107" s="16">
        <v>13300000</v>
      </c>
      <c r="D107" s="16">
        <v>2101819</v>
      </c>
      <c r="E107" s="16">
        <v>0</v>
      </c>
      <c r="F107" s="16">
        <v>0</v>
      </c>
      <c r="G107" s="16">
        <v>0</v>
      </c>
      <c r="H107" s="16">
        <v>0</v>
      </c>
      <c r="I107" s="16">
        <v>394275.95</v>
      </c>
      <c r="J107" s="16">
        <v>1091434.1499999999</v>
      </c>
      <c r="K107" s="16">
        <v>0</v>
      </c>
      <c r="L107" s="16">
        <v>0</v>
      </c>
      <c r="M107" s="16">
        <v>0</v>
      </c>
      <c r="N107" s="16">
        <v>0</v>
      </c>
      <c r="O107" s="16">
        <v>19505.400000000001</v>
      </c>
      <c r="P107" s="16">
        <v>11976160.67</v>
      </c>
      <c r="Q107" s="16">
        <f t="shared" si="100"/>
        <v>13481376.17</v>
      </c>
    </row>
    <row r="108" spans="1:17" ht="25.5" customHeight="1" x14ac:dyDescent="0.35">
      <c r="A108" s="13" t="s">
        <v>181</v>
      </c>
      <c r="B108" s="13" t="s">
        <v>182</v>
      </c>
      <c r="C108" s="16">
        <v>1200000</v>
      </c>
      <c r="D108" s="16">
        <v>-742143.6</v>
      </c>
      <c r="E108" s="16">
        <v>0</v>
      </c>
      <c r="F108" s="16">
        <v>0</v>
      </c>
      <c r="G108" s="16">
        <v>0</v>
      </c>
      <c r="H108" s="16">
        <v>0</v>
      </c>
      <c r="I108" s="16">
        <v>216093.49</v>
      </c>
      <c r="J108" s="16">
        <v>174349.97</v>
      </c>
      <c r="K108" s="16">
        <v>0</v>
      </c>
      <c r="L108" s="16">
        <v>0</v>
      </c>
      <c r="M108" s="16">
        <v>0</v>
      </c>
      <c r="N108" s="16">
        <v>9912</v>
      </c>
      <c r="O108" s="16"/>
      <c r="P108" s="16">
        <v>0</v>
      </c>
      <c r="Q108" s="16">
        <f t="shared" si="100"/>
        <v>400355.45999999996</v>
      </c>
    </row>
    <row r="109" spans="1:17" ht="25.5" customHeight="1" x14ac:dyDescent="0.35">
      <c r="A109" s="13" t="s">
        <v>183</v>
      </c>
      <c r="B109" s="13" t="s">
        <v>184</v>
      </c>
      <c r="C109" s="16">
        <v>0</v>
      </c>
      <c r="D109" s="16">
        <v>216000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216000</v>
      </c>
      <c r="Q109" s="16">
        <f t="shared" si="100"/>
        <v>216000</v>
      </c>
    </row>
    <row r="110" spans="1:17" ht="25.5" customHeight="1" x14ac:dyDescent="0.35">
      <c r="A110" s="10" t="s">
        <v>185</v>
      </c>
      <c r="B110" s="11" t="s">
        <v>186</v>
      </c>
      <c r="C110" s="12">
        <f>SUM(C111:C113)</f>
        <v>800000</v>
      </c>
      <c r="D110" s="12">
        <f>SUM(D111:D113)</f>
        <v>2786043.33</v>
      </c>
      <c r="E110" s="12">
        <f>SUM(E111:E113)</f>
        <v>0</v>
      </c>
      <c r="F110" s="12">
        <f t="shared" ref="F110:K110" si="101">SUM(F111:F113)</f>
        <v>0</v>
      </c>
      <c r="G110" s="12">
        <f t="shared" si="101"/>
        <v>0</v>
      </c>
      <c r="H110" s="12">
        <f t="shared" si="101"/>
        <v>0</v>
      </c>
      <c r="I110" s="12">
        <f t="shared" si="101"/>
        <v>78942</v>
      </c>
      <c r="J110" s="12">
        <f t="shared" si="101"/>
        <v>0</v>
      </c>
      <c r="K110" s="12">
        <f t="shared" si="101"/>
        <v>0</v>
      </c>
      <c r="L110" s="12">
        <f t="shared" ref="L110:M110" si="102">SUM(L111:L113)</f>
        <v>0</v>
      </c>
      <c r="M110" s="12">
        <f t="shared" si="102"/>
        <v>0</v>
      </c>
      <c r="N110" s="12">
        <f t="shared" ref="N110:O110" si="103">SUM(N111:N113)</f>
        <v>0</v>
      </c>
      <c r="O110" s="12">
        <f t="shared" si="103"/>
        <v>65559.97</v>
      </c>
      <c r="P110" s="12">
        <f t="shared" ref="P110" si="104">SUM(P111:P113)</f>
        <v>3285616.5</v>
      </c>
      <c r="Q110" s="12">
        <f>SUM(Q111:Q113)</f>
        <v>3430118.4699999997</v>
      </c>
    </row>
    <row r="111" spans="1:17" ht="25.5" customHeight="1" x14ac:dyDescent="0.35">
      <c r="A111" s="13" t="s">
        <v>187</v>
      </c>
      <c r="B111" s="13" t="s">
        <v>188</v>
      </c>
      <c r="C111" s="16">
        <v>300000</v>
      </c>
      <c r="D111" s="16">
        <v>476410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65559.97</v>
      </c>
      <c r="P111" s="16">
        <v>555352.91</v>
      </c>
      <c r="Q111" s="16">
        <f t="shared" ref="Q111:Q113" si="105">SUM(E111:P111)</f>
        <v>620912.88</v>
      </c>
    </row>
    <row r="112" spans="1:17" ht="25.5" customHeight="1" x14ac:dyDescent="0.35">
      <c r="A112" s="13" t="s">
        <v>189</v>
      </c>
      <c r="B112" s="13" t="s">
        <v>190</v>
      </c>
      <c r="C112" s="16">
        <v>500000</v>
      </c>
      <c r="D112" s="16">
        <v>1837633.33</v>
      </c>
      <c r="E112" s="16">
        <v>0</v>
      </c>
      <c r="F112" s="16">
        <v>0</v>
      </c>
      <c r="G112" s="16">
        <v>0</v>
      </c>
      <c r="H112" s="16">
        <v>0</v>
      </c>
      <c r="I112" s="16">
        <v>78942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2258263.59</v>
      </c>
      <c r="Q112" s="16">
        <f t="shared" si="105"/>
        <v>2337205.59</v>
      </c>
    </row>
    <row r="113" spans="1:17" ht="25.5" customHeight="1" x14ac:dyDescent="0.35">
      <c r="A113" s="13" t="s">
        <v>263</v>
      </c>
      <c r="B113" s="13" t="s">
        <v>264</v>
      </c>
      <c r="C113" s="16">
        <v>0</v>
      </c>
      <c r="D113" s="16">
        <v>472000</v>
      </c>
      <c r="E113" s="16">
        <v>0</v>
      </c>
      <c r="F113" s="16">
        <v>0</v>
      </c>
      <c r="G113" s="16">
        <v>0</v>
      </c>
      <c r="H113" s="16">
        <v>0</v>
      </c>
      <c r="I113" s="16"/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472000</v>
      </c>
      <c r="Q113" s="16">
        <f t="shared" si="105"/>
        <v>472000</v>
      </c>
    </row>
    <row r="114" spans="1:17" ht="25.5" customHeight="1" x14ac:dyDescent="0.35">
      <c r="A114" s="10" t="s">
        <v>191</v>
      </c>
      <c r="B114" s="11" t="s">
        <v>192</v>
      </c>
      <c r="C114" s="12">
        <f>SUM(C115)</f>
        <v>5015170</v>
      </c>
      <c r="D114" s="12">
        <f>SUM(D115)</f>
        <v>-5015170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f>SUM(P115)</f>
        <v>0</v>
      </c>
      <c r="Q114" s="12">
        <f>SUM(Q115)</f>
        <v>0</v>
      </c>
    </row>
    <row r="115" spans="1:17" ht="25.5" customHeight="1" x14ac:dyDescent="0.35">
      <c r="A115" s="13" t="s">
        <v>193</v>
      </c>
      <c r="B115" s="13" t="s">
        <v>194</v>
      </c>
      <c r="C115" s="16">
        <v>5015170</v>
      </c>
      <c r="D115" s="16">
        <v>-5015170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f t="shared" ref="Q115" si="106">SUM(E115:P115)</f>
        <v>0</v>
      </c>
    </row>
    <row r="116" spans="1:17" ht="25.5" customHeight="1" x14ac:dyDescent="0.35">
      <c r="A116" s="10" t="s">
        <v>195</v>
      </c>
      <c r="B116" s="11" t="s">
        <v>196</v>
      </c>
      <c r="C116" s="12">
        <f>SUM(C117:C118)</f>
        <v>53100000</v>
      </c>
      <c r="D116" s="12">
        <f>SUM(D117:D118)</f>
        <v>-45868499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f>SUM(P117:P118)</f>
        <v>7231500.29</v>
      </c>
      <c r="Q116" s="12">
        <f>SUM(Q117:Q118)</f>
        <v>7231500.29</v>
      </c>
    </row>
    <row r="117" spans="1:17" ht="25.5" customHeight="1" x14ac:dyDescent="0.35">
      <c r="A117" s="13" t="s">
        <v>197</v>
      </c>
      <c r="B117" s="13" t="s">
        <v>198</v>
      </c>
      <c r="C117" s="16">
        <v>53000000</v>
      </c>
      <c r="D117" s="16">
        <v>-45870000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7130000</v>
      </c>
      <c r="Q117" s="16">
        <f t="shared" ref="Q117:Q118" si="107">SUM(E117:P117)</f>
        <v>7130000</v>
      </c>
    </row>
    <row r="118" spans="1:17" ht="25.5" customHeight="1" x14ac:dyDescent="0.35">
      <c r="A118" s="13" t="s">
        <v>199</v>
      </c>
      <c r="B118" s="13" t="s">
        <v>200</v>
      </c>
      <c r="C118" s="16">
        <v>100000</v>
      </c>
      <c r="D118" s="16">
        <v>1501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101500.29</v>
      </c>
      <c r="Q118" s="16">
        <f t="shared" si="107"/>
        <v>101500.29</v>
      </c>
    </row>
    <row r="119" spans="1:17" ht="25.5" customHeight="1" x14ac:dyDescent="0.35">
      <c r="A119" s="10" t="s">
        <v>201</v>
      </c>
      <c r="B119" s="11" t="s">
        <v>202</v>
      </c>
      <c r="C119" s="12">
        <f>SUM(C120:C124)</f>
        <v>1481000</v>
      </c>
      <c r="D119" s="12">
        <f>SUM(D120:D124)</f>
        <v>1969549</v>
      </c>
      <c r="E119" s="12">
        <f>SUM(E120:E124)</f>
        <v>0</v>
      </c>
      <c r="F119" s="12">
        <f t="shared" ref="F119:K119" si="108">SUM(F120:F124)</f>
        <v>0</v>
      </c>
      <c r="G119" s="12">
        <f t="shared" si="108"/>
        <v>0</v>
      </c>
      <c r="H119" s="12">
        <f t="shared" si="108"/>
        <v>0</v>
      </c>
      <c r="I119" s="12">
        <f t="shared" si="108"/>
        <v>0</v>
      </c>
      <c r="J119" s="12">
        <f t="shared" si="108"/>
        <v>20995</v>
      </c>
      <c r="K119" s="12">
        <f t="shared" si="108"/>
        <v>0</v>
      </c>
      <c r="L119" s="12">
        <f t="shared" ref="L119:M119" si="109">SUM(L120:L124)</f>
        <v>278999.90999999997</v>
      </c>
      <c r="M119" s="12">
        <f t="shared" si="109"/>
        <v>84134</v>
      </c>
      <c r="N119" s="12">
        <f t="shared" ref="N119:O119" si="110">SUM(N120:N124)</f>
        <v>148680</v>
      </c>
      <c r="O119" s="12">
        <f t="shared" si="110"/>
        <v>0</v>
      </c>
      <c r="P119" s="12">
        <f t="shared" ref="P119" si="111">SUM(P120:P124)</f>
        <v>2777447.8</v>
      </c>
      <c r="Q119" s="12">
        <f>SUM(Q120:Q124)</f>
        <v>3310256.71</v>
      </c>
    </row>
    <row r="120" spans="1:17" ht="25.5" customHeight="1" x14ac:dyDescent="0.35">
      <c r="A120" s="13" t="s">
        <v>249</v>
      </c>
      <c r="B120" s="13" t="s">
        <v>250</v>
      </c>
      <c r="C120" s="16">
        <v>0</v>
      </c>
      <c r="D120" s="16">
        <v>150000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148680</v>
      </c>
      <c r="O120" s="16"/>
      <c r="P120" s="16">
        <v>0</v>
      </c>
      <c r="Q120" s="16">
        <f t="shared" ref="Q120:Q124" si="112">SUM(E120:P120)</f>
        <v>148680</v>
      </c>
    </row>
    <row r="121" spans="1:17" ht="25.5" customHeight="1" x14ac:dyDescent="0.35">
      <c r="A121" s="13" t="s">
        <v>203</v>
      </c>
      <c r="B121" s="13" t="s">
        <v>204</v>
      </c>
      <c r="C121" s="16">
        <v>1081000</v>
      </c>
      <c r="D121" s="16">
        <v>1910861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278999.90999999997</v>
      </c>
      <c r="M121" s="16">
        <v>66788</v>
      </c>
      <c r="N121" s="16">
        <v>0</v>
      </c>
      <c r="O121" s="16">
        <v>0</v>
      </c>
      <c r="P121" s="16">
        <v>2646072.59</v>
      </c>
      <c r="Q121" s="16">
        <f t="shared" si="112"/>
        <v>2991860.5</v>
      </c>
    </row>
    <row r="122" spans="1:17" ht="25.5" customHeight="1" x14ac:dyDescent="0.35">
      <c r="A122" s="13" t="s">
        <v>205</v>
      </c>
      <c r="B122" s="13" t="s">
        <v>206</v>
      </c>
      <c r="C122" s="16">
        <v>400000</v>
      </c>
      <c r="D122" s="16">
        <v>-212307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17346</v>
      </c>
      <c r="N122" s="16">
        <v>0</v>
      </c>
      <c r="O122" s="16">
        <v>0</v>
      </c>
      <c r="P122" s="16">
        <v>32198.07</v>
      </c>
      <c r="Q122" s="16">
        <f t="shared" si="112"/>
        <v>49544.07</v>
      </c>
    </row>
    <row r="123" spans="1:17" ht="25.5" customHeight="1" x14ac:dyDescent="0.35">
      <c r="A123" s="13" t="s">
        <v>251</v>
      </c>
      <c r="B123" s="13" t="s">
        <v>252</v>
      </c>
      <c r="C123" s="16">
        <v>0</v>
      </c>
      <c r="D123" s="16">
        <v>100000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99177.14</v>
      </c>
      <c r="Q123" s="16">
        <f t="shared" si="112"/>
        <v>99177.14</v>
      </c>
    </row>
    <row r="124" spans="1:17" ht="25.5" customHeight="1" x14ac:dyDescent="0.35">
      <c r="A124" s="13" t="s">
        <v>207</v>
      </c>
      <c r="B124" s="13" t="s">
        <v>208</v>
      </c>
      <c r="C124" s="16">
        <v>0</v>
      </c>
      <c r="D124" s="16">
        <v>20995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20995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f t="shared" si="112"/>
        <v>20995</v>
      </c>
    </row>
    <row r="125" spans="1:17" ht="25.5" customHeight="1" x14ac:dyDescent="0.35">
      <c r="A125" s="10" t="s">
        <v>209</v>
      </c>
      <c r="B125" s="11" t="s">
        <v>210</v>
      </c>
      <c r="C125" s="12">
        <f>SUM(C126)</f>
        <v>1265000</v>
      </c>
      <c r="D125" s="12">
        <f>SUM(D126)</f>
        <v>-899530</v>
      </c>
      <c r="E125" s="12">
        <f>SUM(E126)</f>
        <v>0</v>
      </c>
      <c r="F125" s="12">
        <f t="shared" ref="F125:O127" si="113">SUM(F126)</f>
        <v>0</v>
      </c>
      <c r="G125" s="12">
        <f t="shared" si="113"/>
        <v>0</v>
      </c>
      <c r="H125" s="12">
        <f t="shared" si="113"/>
        <v>0</v>
      </c>
      <c r="I125" s="12">
        <f t="shared" si="113"/>
        <v>0</v>
      </c>
      <c r="J125" s="12">
        <f t="shared" si="113"/>
        <v>0</v>
      </c>
      <c r="K125" s="12">
        <f t="shared" si="113"/>
        <v>0</v>
      </c>
      <c r="L125" s="12">
        <f t="shared" si="113"/>
        <v>0</v>
      </c>
      <c r="M125" s="12">
        <f t="shared" si="113"/>
        <v>0</v>
      </c>
      <c r="N125" s="12">
        <f t="shared" si="113"/>
        <v>365469.6</v>
      </c>
      <c r="O125" s="12">
        <f t="shared" si="113"/>
        <v>0</v>
      </c>
      <c r="P125" s="12">
        <f>SUM(P126)</f>
        <v>0</v>
      </c>
      <c r="Q125" s="12">
        <f>SUM(Q126)</f>
        <v>365469.6</v>
      </c>
    </row>
    <row r="126" spans="1:17" ht="25.5" customHeight="1" x14ac:dyDescent="0.35">
      <c r="A126" s="13" t="s">
        <v>211</v>
      </c>
      <c r="B126" s="13" t="s">
        <v>212</v>
      </c>
      <c r="C126" s="16">
        <v>1265000</v>
      </c>
      <c r="D126" s="16">
        <v>-899530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365469.6</v>
      </c>
      <c r="O126" s="16"/>
      <c r="P126" s="16">
        <v>0</v>
      </c>
      <c r="Q126" s="16">
        <f t="shared" ref="Q126" si="114">SUM(E126:P126)</f>
        <v>365469.6</v>
      </c>
    </row>
    <row r="127" spans="1:17" ht="25.5" customHeight="1" x14ac:dyDescent="0.35">
      <c r="A127" s="10" t="s">
        <v>266</v>
      </c>
      <c r="B127" s="11" t="s">
        <v>267</v>
      </c>
      <c r="C127" s="12">
        <v>0</v>
      </c>
      <c r="D127" s="12">
        <f>SUM(D128)</f>
        <v>40000</v>
      </c>
      <c r="E127" s="12">
        <f>SUM(E128)</f>
        <v>0</v>
      </c>
      <c r="F127" s="12">
        <f t="shared" si="113"/>
        <v>0</v>
      </c>
      <c r="G127" s="12">
        <f t="shared" si="113"/>
        <v>0</v>
      </c>
      <c r="H127" s="12">
        <f t="shared" si="113"/>
        <v>0</v>
      </c>
      <c r="I127" s="12">
        <f t="shared" si="113"/>
        <v>0</v>
      </c>
      <c r="J127" s="12">
        <f t="shared" si="113"/>
        <v>0</v>
      </c>
      <c r="K127" s="12">
        <f t="shared" si="113"/>
        <v>0</v>
      </c>
      <c r="L127" s="12">
        <f t="shared" si="113"/>
        <v>0</v>
      </c>
      <c r="M127" s="12">
        <f t="shared" si="113"/>
        <v>0</v>
      </c>
      <c r="N127" s="12">
        <f t="shared" si="113"/>
        <v>0</v>
      </c>
      <c r="O127" s="12">
        <f t="shared" si="113"/>
        <v>0</v>
      </c>
      <c r="P127" s="12">
        <f>SUM(P128)</f>
        <v>39010.800000000003</v>
      </c>
      <c r="Q127" s="12">
        <f>SUM(Q128)</f>
        <v>39010.800000000003</v>
      </c>
    </row>
    <row r="128" spans="1:17" ht="25.5" customHeight="1" x14ac:dyDescent="0.35">
      <c r="A128" s="13" t="s">
        <v>268</v>
      </c>
      <c r="B128" s="13" t="s">
        <v>269</v>
      </c>
      <c r="C128" s="16">
        <v>0</v>
      </c>
      <c r="D128" s="16">
        <v>40000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/>
      <c r="P128" s="16">
        <v>39010.800000000003</v>
      </c>
      <c r="Q128" s="16">
        <f t="shared" ref="Q128" si="115">SUM(E128:P128)</f>
        <v>39010.800000000003</v>
      </c>
    </row>
    <row r="129" spans="1:18" ht="25.5" customHeight="1" x14ac:dyDescent="0.35">
      <c r="A129" s="10" t="s">
        <v>254</v>
      </c>
      <c r="B129" s="11" t="s">
        <v>255</v>
      </c>
      <c r="C129" s="12">
        <v>0</v>
      </c>
      <c r="D129" s="12">
        <f>SUM(D130)</f>
        <v>91178.6</v>
      </c>
      <c r="E129" s="12">
        <f t="shared" ref="E129:Q129" si="116">SUM(E130)</f>
        <v>0</v>
      </c>
      <c r="F129" s="12">
        <f t="shared" si="116"/>
        <v>0</v>
      </c>
      <c r="G129" s="12">
        <f t="shared" si="116"/>
        <v>0</v>
      </c>
      <c r="H129" s="12">
        <f t="shared" si="116"/>
        <v>0</v>
      </c>
      <c r="I129" s="12">
        <f t="shared" si="116"/>
        <v>0</v>
      </c>
      <c r="J129" s="12">
        <f t="shared" si="116"/>
        <v>0</v>
      </c>
      <c r="K129" s="12">
        <f t="shared" si="116"/>
        <v>0</v>
      </c>
      <c r="L129" s="12">
        <f t="shared" si="116"/>
        <v>0</v>
      </c>
      <c r="M129" s="12">
        <f t="shared" si="116"/>
        <v>0</v>
      </c>
      <c r="N129" s="12">
        <f t="shared" si="116"/>
        <v>91178.6</v>
      </c>
      <c r="O129" s="12">
        <f t="shared" si="116"/>
        <v>0</v>
      </c>
      <c r="P129" s="12">
        <f t="shared" si="116"/>
        <v>0</v>
      </c>
      <c r="Q129" s="12">
        <f t="shared" si="116"/>
        <v>91178.6</v>
      </c>
    </row>
    <row r="130" spans="1:18" ht="25.5" customHeight="1" x14ac:dyDescent="0.35">
      <c r="A130" s="13" t="s">
        <v>256</v>
      </c>
      <c r="B130" s="13" t="s">
        <v>257</v>
      </c>
      <c r="C130" s="16">
        <v>0</v>
      </c>
      <c r="D130" s="16">
        <v>91178.6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91178.6</v>
      </c>
      <c r="O130" s="16"/>
      <c r="P130" s="16">
        <v>0</v>
      </c>
      <c r="Q130" s="16">
        <f t="shared" ref="Q130" si="117">SUM(E130:P130)</f>
        <v>91178.6</v>
      </c>
    </row>
    <row r="131" spans="1:18" s="6" customFormat="1" ht="25.5" customHeight="1" x14ac:dyDescent="0.35">
      <c r="A131" s="19" t="s">
        <v>213</v>
      </c>
      <c r="B131" s="20"/>
      <c r="C131" s="21">
        <f t="shared" ref="C131:Q131" si="118">+C103+C65+C30+C18</f>
        <v>732953903</v>
      </c>
      <c r="D131" s="22">
        <f t="shared" si="118"/>
        <v>-203054346.03000003</v>
      </c>
      <c r="E131" s="21">
        <f t="shared" si="118"/>
        <v>0</v>
      </c>
      <c r="F131" s="21">
        <f t="shared" si="118"/>
        <v>23157045.379999999</v>
      </c>
      <c r="G131" s="21">
        <f t="shared" si="118"/>
        <v>19488867.140000001</v>
      </c>
      <c r="H131" s="21">
        <f t="shared" si="118"/>
        <v>22501073.039999999</v>
      </c>
      <c r="I131" s="21">
        <f t="shared" si="118"/>
        <v>29733241.310000002</v>
      </c>
      <c r="J131" s="21">
        <f t="shared" si="118"/>
        <v>30993580.57</v>
      </c>
      <c r="K131" s="21">
        <f t="shared" si="118"/>
        <v>34202237.269999996</v>
      </c>
      <c r="L131" s="21">
        <f t="shared" si="118"/>
        <v>36712217.990000002</v>
      </c>
      <c r="M131" s="21">
        <f t="shared" si="118"/>
        <v>33941300.93</v>
      </c>
      <c r="N131" s="21">
        <f t="shared" si="118"/>
        <v>48499773.540000007</v>
      </c>
      <c r="O131" s="21">
        <f t="shared" si="118"/>
        <v>72305566.879999995</v>
      </c>
      <c r="P131" s="21">
        <f t="shared" si="118"/>
        <v>138626620.12</v>
      </c>
      <c r="Q131" s="22">
        <f t="shared" si="118"/>
        <v>490161524.17000002</v>
      </c>
    </row>
    <row r="132" spans="1:18" ht="25.5" customHeight="1" x14ac:dyDescent="0.35">
      <c r="D132" s="46">
        <f>-42416190.06-D103</f>
        <v>0</v>
      </c>
      <c r="K132" s="18"/>
      <c r="L132" s="18"/>
      <c r="M132" s="18"/>
      <c r="N132" s="18"/>
      <c r="O132" s="18"/>
      <c r="P132" s="18"/>
      <c r="Q132" s="46"/>
      <c r="R132" s="46"/>
    </row>
    <row r="133" spans="1:18" ht="0.75" customHeight="1" x14ac:dyDescent="0.35">
      <c r="D133" s="23">
        <f>+D132-D103</f>
        <v>42416190.059999995</v>
      </c>
      <c r="K133" s="23"/>
      <c r="L133" s="23"/>
      <c r="M133" s="23"/>
      <c r="N133" s="23"/>
      <c r="O133" s="23"/>
      <c r="P133" s="23"/>
      <c r="Q133" s="48"/>
    </row>
    <row r="134" spans="1:18" ht="25.5" customHeight="1" x14ac:dyDescent="0.35">
      <c r="A134" s="24" t="s">
        <v>214</v>
      </c>
      <c r="D134" s="46"/>
      <c r="N134" s="45"/>
      <c r="O134" s="45"/>
      <c r="P134" s="45"/>
      <c r="Q134" s="23"/>
    </row>
    <row r="135" spans="1:18" ht="25.5" customHeight="1" x14ac:dyDescent="0.35">
      <c r="A135" s="10">
        <v>4.0999999999999996</v>
      </c>
      <c r="B135" s="11" t="s">
        <v>215</v>
      </c>
      <c r="C135" s="25">
        <f>SUM(C136:C137)</f>
        <v>0</v>
      </c>
      <c r="D135" s="25">
        <f t="shared" ref="D135:K135" si="119">SUM(D136:D137)</f>
        <v>0</v>
      </c>
      <c r="E135" s="25">
        <f t="shared" si="119"/>
        <v>0</v>
      </c>
      <c r="F135" s="25">
        <f t="shared" si="119"/>
        <v>0</v>
      </c>
      <c r="G135" s="25">
        <f t="shared" si="119"/>
        <v>0</v>
      </c>
      <c r="H135" s="25">
        <f t="shared" si="119"/>
        <v>0</v>
      </c>
      <c r="I135" s="25">
        <f t="shared" si="119"/>
        <v>0</v>
      </c>
      <c r="J135" s="25">
        <f t="shared" si="119"/>
        <v>0</v>
      </c>
      <c r="K135" s="25">
        <f t="shared" si="119"/>
        <v>0</v>
      </c>
      <c r="L135" s="25">
        <f t="shared" ref="L135:M135" si="120">SUM(L136:L137)</f>
        <v>0</v>
      </c>
      <c r="M135" s="25">
        <f t="shared" si="120"/>
        <v>0</v>
      </c>
      <c r="N135" s="25">
        <f t="shared" ref="N135:O135" si="121">SUM(N136:N137)</f>
        <v>0</v>
      </c>
      <c r="O135" s="25">
        <f t="shared" si="121"/>
        <v>0</v>
      </c>
      <c r="P135" s="25">
        <f t="shared" ref="P135" si="122">SUM(P136:P137)</f>
        <v>0</v>
      </c>
      <c r="Q135" s="25">
        <f>SUM(Q136:Q137)</f>
        <v>0</v>
      </c>
    </row>
    <row r="136" spans="1:18" ht="25.5" customHeight="1" x14ac:dyDescent="0.35">
      <c r="A136" s="2" t="s">
        <v>217</v>
      </c>
      <c r="B136" s="26" t="s">
        <v>218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16">
        <f t="shared" ref="Q136:Q138" si="123">SUM(E136:P136)</f>
        <v>0</v>
      </c>
    </row>
    <row r="137" spans="1:18" ht="25.5" customHeight="1" x14ac:dyDescent="0.35">
      <c r="A137" s="2" t="s">
        <v>219</v>
      </c>
      <c r="B137" s="26" t="s">
        <v>220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16">
        <f t="shared" si="123"/>
        <v>0</v>
      </c>
    </row>
    <row r="138" spans="1:18" ht="8.25" customHeight="1" x14ac:dyDescent="0.35"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16">
        <f t="shared" si="123"/>
        <v>0</v>
      </c>
    </row>
    <row r="139" spans="1:18" ht="25.5" customHeight="1" x14ac:dyDescent="0.35">
      <c r="A139" s="10">
        <v>4.2</v>
      </c>
      <c r="B139" s="11" t="s">
        <v>221</v>
      </c>
      <c r="C139" s="25">
        <f>SUM(C140:C141)</f>
        <v>0</v>
      </c>
      <c r="D139" s="25">
        <f t="shared" ref="D139:K139" si="124">SUM(D140:D141)</f>
        <v>0</v>
      </c>
      <c r="E139" s="25">
        <f t="shared" si="124"/>
        <v>0</v>
      </c>
      <c r="F139" s="25">
        <f t="shared" si="124"/>
        <v>0</v>
      </c>
      <c r="G139" s="25">
        <f t="shared" si="124"/>
        <v>0</v>
      </c>
      <c r="H139" s="25">
        <f t="shared" si="124"/>
        <v>0</v>
      </c>
      <c r="I139" s="25">
        <f t="shared" si="124"/>
        <v>0</v>
      </c>
      <c r="J139" s="25">
        <f t="shared" si="124"/>
        <v>0</v>
      </c>
      <c r="K139" s="25">
        <f t="shared" si="124"/>
        <v>0</v>
      </c>
      <c r="L139" s="25">
        <f t="shared" ref="L139:M139" si="125">SUM(L140:L141)</f>
        <v>0</v>
      </c>
      <c r="M139" s="25">
        <f t="shared" si="125"/>
        <v>0</v>
      </c>
      <c r="N139" s="25">
        <f t="shared" ref="N139:O139" si="126">SUM(N140:N141)</f>
        <v>0</v>
      </c>
      <c r="O139" s="25">
        <f t="shared" si="126"/>
        <v>0</v>
      </c>
      <c r="P139" s="25">
        <f t="shared" ref="P139" si="127">SUM(P140:P141)</f>
        <v>0</v>
      </c>
      <c r="Q139" s="25">
        <f>SUM(Q140:Q141)</f>
        <v>0</v>
      </c>
    </row>
    <row r="140" spans="1:18" ht="25.5" customHeight="1" x14ac:dyDescent="0.35">
      <c r="A140" s="2" t="s">
        <v>222</v>
      </c>
      <c r="B140" s="1" t="s">
        <v>223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16">
        <f t="shared" ref="Q140:Q142" si="128">SUM(E140:P140)</f>
        <v>0</v>
      </c>
    </row>
    <row r="141" spans="1:18" ht="25.5" customHeight="1" x14ac:dyDescent="0.35">
      <c r="A141" s="2" t="s">
        <v>224</v>
      </c>
      <c r="B141" s="1" t="s">
        <v>225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16">
        <f t="shared" si="128"/>
        <v>0</v>
      </c>
    </row>
    <row r="142" spans="1:18" ht="14.25" customHeight="1" x14ac:dyDescent="0.35"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16">
        <f t="shared" si="128"/>
        <v>0</v>
      </c>
    </row>
    <row r="143" spans="1:18" ht="25.5" customHeight="1" x14ac:dyDescent="0.35">
      <c r="A143" s="10">
        <v>4.3</v>
      </c>
      <c r="B143" s="11" t="s">
        <v>226</v>
      </c>
      <c r="C143" s="25">
        <f>SUM(C144)</f>
        <v>0</v>
      </c>
      <c r="D143" s="25">
        <f t="shared" ref="D143:P143" si="129">SUM(D144)</f>
        <v>0</v>
      </c>
      <c r="E143" s="25">
        <f t="shared" si="129"/>
        <v>0</v>
      </c>
      <c r="F143" s="25">
        <f t="shared" si="129"/>
        <v>0</v>
      </c>
      <c r="G143" s="25">
        <f t="shared" si="129"/>
        <v>0</v>
      </c>
      <c r="H143" s="25">
        <f t="shared" si="129"/>
        <v>0</v>
      </c>
      <c r="I143" s="25">
        <f t="shared" si="129"/>
        <v>0</v>
      </c>
      <c r="J143" s="25">
        <f t="shared" si="129"/>
        <v>0</v>
      </c>
      <c r="K143" s="25">
        <f t="shared" si="129"/>
        <v>0</v>
      </c>
      <c r="L143" s="25">
        <f t="shared" si="129"/>
        <v>0</v>
      </c>
      <c r="M143" s="25">
        <f t="shared" si="129"/>
        <v>0</v>
      </c>
      <c r="N143" s="25">
        <f t="shared" si="129"/>
        <v>0</v>
      </c>
      <c r="O143" s="25">
        <f t="shared" si="129"/>
        <v>0</v>
      </c>
      <c r="P143" s="25">
        <f t="shared" si="129"/>
        <v>0</v>
      </c>
      <c r="Q143" s="25">
        <f>SUM(Q144)</f>
        <v>0</v>
      </c>
    </row>
    <row r="144" spans="1:18" ht="25.5" customHeight="1" x14ac:dyDescent="0.35">
      <c r="A144" s="2" t="s">
        <v>227</v>
      </c>
      <c r="B144" s="26" t="s">
        <v>228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16">
        <f t="shared" ref="Q144" si="130">SUM(E144:P144)</f>
        <v>0</v>
      </c>
    </row>
    <row r="145" spans="1:17" s="6" customFormat="1" ht="25.5" customHeight="1" x14ac:dyDescent="0.35">
      <c r="A145" s="19" t="s">
        <v>229</v>
      </c>
      <c r="B145" s="20"/>
      <c r="C145" s="28">
        <f>C143+C139+C135</f>
        <v>0</v>
      </c>
      <c r="D145" s="28">
        <f t="shared" ref="D145:K145" si="131">D143+D139+D135</f>
        <v>0</v>
      </c>
      <c r="E145" s="28">
        <f t="shared" si="131"/>
        <v>0</v>
      </c>
      <c r="F145" s="28">
        <f t="shared" si="131"/>
        <v>0</v>
      </c>
      <c r="G145" s="28">
        <f t="shared" si="131"/>
        <v>0</v>
      </c>
      <c r="H145" s="28">
        <f t="shared" si="131"/>
        <v>0</v>
      </c>
      <c r="I145" s="28">
        <f t="shared" si="131"/>
        <v>0</v>
      </c>
      <c r="J145" s="28">
        <f t="shared" si="131"/>
        <v>0</v>
      </c>
      <c r="K145" s="28">
        <f t="shared" si="131"/>
        <v>0</v>
      </c>
      <c r="L145" s="28">
        <f t="shared" ref="L145:M145" si="132">L143+L139+L135</f>
        <v>0</v>
      </c>
      <c r="M145" s="28">
        <f t="shared" si="132"/>
        <v>0</v>
      </c>
      <c r="N145" s="28">
        <f t="shared" ref="N145:O145" si="133">N143+N139+N135</f>
        <v>0</v>
      </c>
      <c r="O145" s="28">
        <f t="shared" si="133"/>
        <v>0</v>
      </c>
      <c r="P145" s="28">
        <f t="shared" ref="P145" si="134">P143+P139+P135</f>
        <v>0</v>
      </c>
      <c r="Q145" s="29">
        <f>+Q135+Q139+Q143</f>
        <v>0</v>
      </c>
    </row>
    <row r="146" spans="1:17" ht="14.25" customHeight="1" x14ac:dyDescent="0.35"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16"/>
    </row>
    <row r="147" spans="1:17" s="6" customFormat="1" ht="25.5" customHeight="1" x14ac:dyDescent="0.35">
      <c r="A147" s="31" t="s">
        <v>230</v>
      </c>
      <c r="B147" s="32"/>
      <c r="C147" s="33">
        <f>C145+C131</f>
        <v>732953903</v>
      </c>
      <c r="D147" s="33">
        <f>D145+D131</f>
        <v>-203054346.03000003</v>
      </c>
      <c r="E147" s="34" t="s">
        <v>216</v>
      </c>
      <c r="F147" s="33">
        <f>F145+F131</f>
        <v>23157045.379999999</v>
      </c>
      <c r="G147" s="33">
        <f t="shared" ref="G147:K147" si="135">G145+G131</f>
        <v>19488867.140000001</v>
      </c>
      <c r="H147" s="33">
        <f t="shared" si="135"/>
        <v>22501073.039999999</v>
      </c>
      <c r="I147" s="33">
        <f t="shared" si="135"/>
        <v>29733241.310000002</v>
      </c>
      <c r="J147" s="33">
        <f t="shared" si="135"/>
        <v>30993580.57</v>
      </c>
      <c r="K147" s="33">
        <f t="shared" si="135"/>
        <v>34202237.269999996</v>
      </c>
      <c r="L147" s="33">
        <f t="shared" ref="L147:M147" si="136">L145+L131</f>
        <v>36712217.990000002</v>
      </c>
      <c r="M147" s="33">
        <f t="shared" si="136"/>
        <v>33941300.93</v>
      </c>
      <c r="N147" s="33">
        <f t="shared" ref="N147:O147" si="137">N145+N131</f>
        <v>48499773.540000007</v>
      </c>
      <c r="O147" s="33">
        <f t="shared" si="137"/>
        <v>72305566.879999995</v>
      </c>
      <c r="P147" s="33">
        <f t="shared" ref="P147" si="138">P145+P131</f>
        <v>138626620.12</v>
      </c>
      <c r="Q147" s="36">
        <f>+Q131+Q145</f>
        <v>490161524.17000002</v>
      </c>
    </row>
    <row r="148" spans="1:17" ht="12" x14ac:dyDescent="0.3">
      <c r="G148" s="35"/>
      <c r="H148" s="35"/>
      <c r="I148" s="35"/>
      <c r="J148" s="35"/>
    </row>
    <row r="149" spans="1:17" ht="12" x14ac:dyDescent="0.3">
      <c r="G149" s="35"/>
      <c r="H149" s="35"/>
      <c r="I149" s="35"/>
      <c r="J149" s="35"/>
    </row>
    <row r="150" spans="1:17" ht="12" x14ac:dyDescent="0.3">
      <c r="G150" s="35"/>
      <c r="H150" s="35"/>
      <c r="I150" s="35"/>
      <c r="J150" s="35"/>
    </row>
    <row r="151" spans="1:17" ht="12" x14ac:dyDescent="0.3">
      <c r="G151" s="35"/>
      <c r="H151" s="35"/>
      <c r="I151" s="35"/>
      <c r="J151" s="35"/>
    </row>
    <row r="152" spans="1:17" x14ac:dyDescent="0.35">
      <c r="A152" s="49" t="s">
        <v>235</v>
      </c>
      <c r="B152" s="49"/>
      <c r="D152" s="18"/>
    </row>
    <row r="153" spans="1:17" x14ac:dyDescent="0.35">
      <c r="D153" s="23"/>
      <c r="O153" s="49" t="s">
        <v>265</v>
      </c>
      <c r="P153" s="49"/>
      <c r="Q153" s="49"/>
    </row>
    <row r="156" spans="1:17" ht="14.5" x14ac:dyDescent="0.35">
      <c r="A156" s="37"/>
      <c r="B156" s="38"/>
      <c r="K156"/>
      <c r="O156" s="38"/>
      <c r="P156" s="38"/>
      <c r="Q156" s="56"/>
    </row>
    <row r="157" spans="1:17" ht="14" x14ac:dyDescent="0.35">
      <c r="A157" s="55" t="s">
        <v>236</v>
      </c>
      <c r="B157" s="55"/>
      <c r="O157" s="50" t="s">
        <v>238</v>
      </c>
      <c r="P157" s="50"/>
      <c r="Q157" s="50"/>
    </row>
    <row r="158" spans="1:17" x14ac:dyDescent="0.35">
      <c r="A158" s="49" t="s">
        <v>237</v>
      </c>
      <c r="B158" s="49"/>
      <c r="O158" s="49" t="s">
        <v>239</v>
      </c>
      <c r="P158" s="49"/>
      <c r="Q158" s="49"/>
    </row>
    <row r="164" spans="1:17" x14ac:dyDescent="0.35">
      <c r="G164" s="49" t="s">
        <v>240</v>
      </c>
      <c r="H164" s="49"/>
      <c r="I164" s="49"/>
    </row>
    <row r="165" spans="1:17" x14ac:dyDescent="0.35">
      <c r="A165" s="43"/>
      <c r="B165" s="43"/>
      <c r="C165" s="43"/>
      <c r="D165" s="43"/>
      <c r="K165" s="43"/>
      <c r="L165" s="43"/>
      <c r="M165" s="43"/>
      <c r="N165" s="43"/>
      <c r="O165" s="43"/>
      <c r="P165" s="43"/>
      <c r="Q165" s="43"/>
    </row>
    <row r="166" spans="1:17" x14ac:dyDescent="0.35">
      <c r="A166" s="43"/>
      <c r="B166" s="43"/>
      <c r="C166" s="43"/>
      <c r="D166" s="43"/>
      <c r="G166" s="43"/>
      <c r="H166" s="43"/>
      <c r="I166" s="43"/>
      <c r="K166" s="43"/>
      <c r="L166" s="43"/>
      <c r="M166" s="43"/>
      <c r="N166" s="43"/>
      <c r="O166" s="43"/>
      <c r="P166" s="43"/>
      <c r="Q166" s="43"/>
    </row>
    <row r="167" spans="1:17" x14ac:dyDescent="0.35">
      <c r="A167" s="43"/>
      <c r="B167" s="43"/>
      <c r="C167" s="43"/>
      <c r="D167" s="43"/>
      <c r="G167" s="43"/>
      <c r="I167" s="43"/>
      <c r="K167" s="43"/>
      <c r="L167" s="43"/>
      <c r="M167" s="43"/>
      <c r="N167" s="43"/>
      <c r="O167" s="43"/>
      <c r="P167" s="43"/>
      <c r="Q167" s="43"/>
    </row>
    <row r="168" spans="1:17" x14ac:dyDescent="0.35">
      <c r="A168" s="43"/>
      <c r="B168" s="43"/>
      <c r="C168" s="43"/>
      <c r="D168" s="43"/>
      <c r="G168" s="39"/>
      <c r="H168" s="39"/>
      <c r="I168" s="39"/>
      <c r="K168" s="43"/>
      <c r="L168" s="43"/>
      <c r="M168" s="43"/>
      <c r="N168" s="43"/>
      <c r="O168" s="43"/>
      <c r="P168" s="43"/>
      <c r="Q168" s="43"/>
    </row>
    <row r="169" spans="1:17" ht="14" x14ac:dyDescent="0.35">
      <c r="B169" s="44"/>
      <c r="C169" s="44"/>
      <c r="D169" s="44"/>
      <c r="G169" s="55" t="s">
        <v>241</v>
      </c>
      <c r="H169" s="55"/>
      <c r="I169" s="55"/>
      <c r="K169" s="44"/>
      <c r="L169" s="44"/>
      <c r="M169" s="44"/>
      <c r="N169" s="44"/>
      <c r="O169" s="44"/>
      <c r="P169" s="44"/>
      <c r="Q169" s="44"/>
    </row>
    <row r="170" spans="1:17" x14ac:dyDescent="0.35">
      <c r="G170" s="49" t="s">
        <v>242</v>
      </c>
      <c r="H170" s="49"/>
      <c r="I170" s="49"/>
    </row>
  </sheetData>
  <mergeCells count="15">
    <mergeCell ref="A16:B16"/>
    <mergeCell ref="A157:B157"/>
    <mergeCell ref="A158:B158"/>
    <mergeCell ref="G169:I169"/>
    <mergeCell ref="G170:I170"/>
    <mergeCell ref="A10:Q10"/>
    <mergeCell ref="A11:Q11"/>
    <mergeCell ref="A12:Q12"/>
    <mergeCell ref="A13:Q13"/>
    <mergeCell ref="A14:Q14"/>
    <mergeCell ref="A152:B152"/>
    <mergeCell ref="G164:I164"/>
    <mergeCell ref="O153:Q153"/>
    <mergeCell ref="O157:Q157"/>
    <mergeCell ref="O158:Q158"/>
  </mergeCells>
  <pageMargins left="0.34" right="0.15748031496062992" top="0.35" bottom="0.27559055118110237" header="0.35" footer="0.31496062992125984"/>
  <pageSetup paperSize="5" scale="59" orientation="landscape" r:id="rId1"/>
  <headerFooter>
    <oddFooter>&amp;R&amp;8&amp;P/&amp;N</oddFooter>
  </headerFooter>
  <rowBreaks count="5" manualBreakCount="5">
    <brk id="38" max="16383" man="1"/>
    <brk id="61" max="16383" man="1"/>
    <brk id="86" max="16383" man="1"/>
    <brk id="109" max="16383" man="1"/>
    <brk id="140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Enero-Diciembre</vt:lpstr>
      <vt:lpstr>'Enero-Diciembre'!Print_Area</vt:lpstr>
      <vt:lpstr>'Enero-Diciembre'!Print_Titles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Rodriguez Geanny Mendez</cp:lastModifiedBy>
  <cp:revision/>
  <cp:lastPrinted>2023-01-19T16:23:22Z</cp:lastPrinted>
  <dcterms:created xsi:type="dcterms:W3CDTF">2015-06-05T18:17:20Z</dcterms:created>
  <dcterms:modified xsi:type="dcterms:W3CDTF">2023-01-19T16:24:01Z</dcterms:modified>
  <cp:category/>
  <cp:contentStatus/>
</cp:coreProperties>
</file>